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4200" windowWidth="9570" windowHeight="4230" activeTab="3"/>
  </bookViews>
  <sheets>
    <sheet name="ГАД" sheetId="1" r:id="rId1"/>
    <sheet name="функцион.2012" sheetId="2" r:id="rId2"/>
    <sheet name="ведомствен.2012" sheetId="3" r:id="rId3"/>
    <sheet name="Источники 2012" sheetId="4" r:id="rId4"/>
  </sheets>
  <externalReferences>
    <externalReference r:id="rId7"/>
    <externalReference r:id="rId8"/>
  </externalReferences>
  <definedNames>
    <definedName name="_xlnm.Print_Titles" localSheetId="0">'ГАД'!$7:$8</definedName>
    <definedName name="_xlnm.Print_Area" localSheetId="0">'ГАД'!$A$1:$C$142</definedName>
  </definedNames>
  <calcPr fullCalcOnLoad="1"/>
</workbook>
</file>

<file path=xl/sharedStrings.xml><?xml version="1.0" encoding="utf-8"?>
<sst xmlns="http://schemas.openxmlformats.org/spreadsheetml/2006/main" count="10143" uniqueCount="1191">
  <si>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</si>
  <si>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Управление по физической культуре, спорту, туризму, молодежной политике Администрации Миасского городского округа</t>
  </si>
  <si>
    <t>Муниципальное казенное учреждение Миасского городского округа "Образование"</t>
  </si>
  <si>
    <t>2 02 02141 04 0000 151</t>
  </si>
  <si>
    <t>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</t>
  </si>
  <si>
    <t>Муниципальное казенное учреждение "Управление культуры" 
Миасского городского округа</t>
  </si>
  <si>
    <t>Муниципальное казенное учреждение "Управление здравоохранения" 
Миасского городского округа</t>
  </si>
  <si>
    <t>2 02 04034 04 0001 151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</si>
  <si>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 в части укрепления материально-технической базы медицинских учреждений</t>
  </si>
  <si>
    <t>Управление жилищно-коммунального хозяйства, энергетики и транспорта Администрации Миасского городского округа</t>
  </si>
  <si>
    <t>2 02 02041 04 0000 151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</si>
  <si>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
поселениях (за исключением автомобильных дорог федерального значения)</t>
  </si>
  <si>
    <t>1 13 01530 04 0000 130</t>
  </si>
  <si>
    <t>Плата за оказание услуг по присоединению объетов дорожного сервиса к автомобильным дорогам общего пользования местного значения, зачисляемая в бюджеты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</si>
  <si>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</si>
  <si>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</si>
  <si>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1 13 01994 04 0010 130</t>
  </si>
  <si>
    <t>Прочие доходы от оказания платных услуг (работ) получателями средств бюджетов городских округов (в части средств по родительской плате за содержание детей в дошкольных образовательных учреждениях)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</si>
  <si>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</si>
  <si>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</si>
  <si>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1 13 02994 04 0000 130</t>
  </si>
  <si>
    <t>1 15 03040 04 0000 140</t>
  </si>
  <si>
    <t>Сборы за выдачу лицензий органами местного самоуправления городских округов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</si>
  <si>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</si>
  <si>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</si>
  <si>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1 16 23042 04 0000 140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</si>
  <si>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</si>
  <si>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1 17 02010 04 0000 180</t>
  </si>
  <si>
    <t>1 17 12040 04 0000 180</t>
  </si>
  <si>
    <t>2 03 04010 04 0000 180</t>
  </si>
  <si>
    <t>Предоставление государственными (муниципальными) организациями грантов для получателей средств бюджетов городских округов</t>
  </si>
  <si>
    <t>2 03 04020 04 0000 180</t>
  </si>
  <si>
    <t>317 00 00</t>
  </si>
  <si>
    <t>Отдельные мероприятия по другим видам транспорта</t>
  </si>
  <si>
    <t>366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</si>
  <si>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</si>
  <si>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</si>
  <si>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</si>
  <si>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</si>
  <si>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 xml:space="preserve">Расходы за счет субвенции из областного бюджета на ежемесячное пособие на ребенка </t>
  </si>
  <si>
    <t>505 55 10</t>
  </si>
  <si>
    <t>Расходы за счет субвенции из областного бюджета на обеспечение мер  социальной поддержки ветеранов труда и труженников тыла (Закон Челябинской области "О мерах социальной поддержки ветеранов Челябинской области)</t>
  </si>
  <si>
    <t>505 55 20</t>
  </si>
  <si>
    <t>505 55 23</t>
  </si>
  <si>
    <t>505 55 24</t>
  </si>
  <si>
    <t xml:space="preserve">Расходы за счет субвенции из областного бюджета на обеспечение мер  социальной поддержки ветеранов труда и труженников тыла (Закон Челябинской области "О мерах социальной поддержки ветеранов Челябинской области) (ежеквартальные денежные выплаты на оплату </t>
  </si>
  <si>
    <t>Расходы за счет субвенции из областного бюджета на обеспечение мер  социальной поддержки ветеранов труда и труженников тыла (Закон Челябинской области "О мерах социальной поддержки ветеранов Челябинской области) (другие меры социальной поддержки ветеранов</t>
  </si>
  <si>
    <t>Расходы за счет субвенции на обеспечение мер социальной поддержки граждан, имеющих звание "Ветеран труда Челябинской области" (ежемесячная денежная выплата на оплату жилья и коммунальных услуг и единовременная денежная выплата на цели отопления)</t>
  </si>
  <si>
    <t>505 33 33</t>
  </si>
  <si>
    <t>Расходы за счет субвенций из областного бюджета на обеспечение дополнительных мер социальной поддержки многодетных семей</t>
  </si>
  <si>
    <t>505 33 41</t>
  </si>
  <si>
    <t>Расходы за счет субвенции из областного бюджета на обеспечение мер социальной поддержки граждан, работающих  в сельских населенных пунктах и рабочих поселках Челябинской области</t>
  </si>
  <si>
    <t>505 33 53</t>
  </si>
  <si>
    <t>505 33 54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</si>
  <si>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 ежемесячная денежная выплата на оплату жилья и коммунальных услуг единовременная денежная выплата на цели отопления)</t>
  </si>
  <si>
    <t>505 33 55</t>
  </si>
  <si>
    <t>Меры социальной поддержки граждан</t>
  </si>
  <si>
    <t>505 33 65</t>
  </si>
  <si>
    <t>Расходы за счет субвенции из областного бюджета на выплату единовременного пособия при рождении ребенка</t>
  </si>
  <si>
    <t>505 33 72</t>
  </si>
  <si>
    <t>Проведение противоаварийных
мероприятий в зданиях государственных и муниципальных
общеобразовательных учреждений</t>
  </si>
  <si>
    <t>436 15 00</t>
  </si>
  <si>
    <t>Физкультурно-оздоровительная работа и спортивные мероприятия</t>
  </si>
  <si>
    <t>512 00 00</t>
  </si>
  <si>
    <t>512 97 00</t>
  </si>
  <si>
    <t>Мероприятия в области здравоохранения, спорта и физической культуры,туризма за счет субсидии из областного бюджета</t>
  </si>
  <si>
    <t>512 97 26</t>
  </si>
  <si>
    <t>520 00 00</t>
  </si>
  <si>
    <t>Ежемесячное денежное вознаграждение за классное руководство</t>
  </si>
  <si>
    <t>520 09 00</t>
  </si>
  <si>
    <t>Расходы за счет субвенции из областного бюджета на ежемесячное денежное вознаграждение за классное руководство</t>
  </si>
  <si>
    <t>520 09 43</t>
  </si>
  <si>
    <t>Внедрение ииновационных образовательных программ</t>
  </si>
  <si>
    <t>621</t>
  </si>
  <si>
    <t>Мероприятия в сфере образования</t>
  </si>
  <si>
    <t>022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</si>
  <si>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</si>
  <si>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</si>
  <si>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</si>
  <si>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</si>
  <si>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431 01 99</t>
  </si>
  <si>
    <t>Проведение мероприятий по работе с детьми и молодежью для организации и проведения летних полевых лагерей и проведения походов за счет субсидии из областного бюджета</t>
  </si>
  <si>
    <t>431 01 77</t>
  </si>
  <si>
    <t>431 99 00</t>
  </si>
  <si>
    <t xml:space="preserve">Мероприятия по проведению оздоровительной кампании детей </t>
  </si>
  <si>
    <t xml:space="preserve">Оздоровление детей </t>
  </si>
  <si>
    <t>432 02 00</t>
  </si>
  <si>
    <t>432 02 75</t>
  </si>
  <si>
    <t>Организация отдыха детей в каникулярное время в загородных учреждениях, организующих отдых детей в каникулярное время за счет субсидии из областного бюджета</t>
  </si>
  <si>
    <t>432 02 76</t>
  </si>
  <si>
    <t>Межбюджетные трансферты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</si>
  <si>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</si>
  <si>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</si>
  <si>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</si>
  <si>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Организация и осуществление мероприятий по работе с детьми и молодежью за счет субсидий из областного бюджета</t>
  </si>
  <si>
    <t>521 01 39</t>
  </si>
  <si>
    <t>Мероприятия по работе с детьми и молодежью</t>
  </si>
  <si>
    <t>917</t>
  </si>
  <si>
    <t>Другие вопросы в области образования</t>
  </si>
  <si>
    <t>Бюджетные инвестиции в объекты капитального строительства собственности муниципальных образований</t>
  </si>
  <si>
    <t>Государственная поддержка в сфере образования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</si>
  <si>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</si>
  <si>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01  06  04  00  04  0000  810</t>
  </si>
  <si>
    <t xml:space="preserve">Другие вопросы в области культуры, кинематографии </t>
  </si>
  <si>
    <t xml:space="preserve">Физкультурно-оздоровительная работа и спортивные  мероприятия </t>
  </si>
  <si>
    <t>Программа "Развитие физической культуры и спорта в Миасском городском округе в 2007-2010гг"</t>
  </si>
  <si>
    <t>795 00 35</t>
  </si>
  <si>
    <t>Областная целевая программа реализации Национального проекта "Здоровье" в Челябинской области</t>
  </si>
  <si>
    <t>522 18 00</t>
  </si>
  <si>
    <t xml:space="preserve">Нац.проект "Здоровье" на территории  Миасского городского округа на 2006-2010 гг. </t>
  </si>
  <si>
    <t>795 18 31</t>
  </si>
  <si>
    <t>13</t>
  </si>
  <si>
    <t>Обслуживание внутреннего государственного и муниципального долга</t>
  </si>
  <si>
    <t xml:space="preserve">Физическая культура </t>
  </si>
  <si>
    <t>Другие вопросы в области физической культуры и спорта</t>
  </si>
  <si>
    <t>Другие вопросы в области здравоохранения</t>
  </si>
  <si>
    <t>293</t>
  </si>
  <si>
    <t>Целевые отчисления от лотерей городских округов</t>
  </si>
  <si>
    <t>470 99 68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</si>
  <si>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</si>
  <si>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</si>
  <si>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</si>
  <si>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</si>
  <si>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905</t>
  </si>
  <si>
    <t>Фельдшерско-акушерские пункты</t>
  </si>
  <si>
    <t>478 00 00</t>
  </si>
  <si>
    <t>Денежные выплаты медицинскому персоналу фельдшерско-акушерских пунктов, врачам, фельдшерам и медицинским сестрам cкорой медицинской помощи</t>
  </si>
  <si>
    <t xml:space="preserve">520 18 00 </t>
  </si>
  <si>
    <t>Медицинская помощь в дневных стационарах всех типов</t>
  </si>
  <si>
    <t>Больницы, клиники, госпитали, медико-санитарные части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</si>
  <si>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</si>
  <si>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</si>
  <si>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</si>
  <si>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</si>
  <si>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</si>
  <si>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 xml:space="preserve">Государственная регистрация актов гражданского состояния </t>
  </si>
  <si>
    <t>001 38 00</t>
  </si>
  <si>
    <t>Осуществление полномочий по подготовке проведения статистических переписей</t>
  </si>
  <si>
    <t>001 43 00</t>
  </si>
  <si>
    <t>Обеспечение деятельности подведомственных учреждений</t>
  </si>
  <si>
    <t>002 99 00</t>
  </si>
  <si>
    <t>Выполнение функций бюджетными учреждениями</t>
  </si>
  <si>
    <t>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</si>
  <si>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</si>
  <si>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090 02 00</t>
  </si>
  <si>
    <t>092 03 00</t>
  </si>
  <si>
    <t>Бюджетные инвестиции в объекты капитального строительства, не включенные в целевые программы</t>
  </si>
  <si>
    <t>Субсидии на обеспечение жильем</t>
  </si>
  <si>
    <t>522 19 15</t>
  </si>
  <si>
    <t>501</t>
  </si>
  <si>
    <t>Подпрограмма "Предоставление работникам бюджетной сферы безвозмездных субсидий на приобретение или стр-во жилья"</t>
  </si>
  <si>
    <t>795 00 65</t>
  </si>
  <si>
    <t>068</t>
  </si>
  <si>
    <t>795 19 14</t>
  </si>
  <si>
    <t>Составление (изменение) списков кандидатов в присяжные заседатели  федеральных судов общей юрисдикции в Российской Федерации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</si>
  <si>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</si>
  <si>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</si>
  <si>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</si>
  <si>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</si>
  <si>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</si>
  <si>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</si>
  <si>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</si>
  <si>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 xml:space="preserve">Функционирование органов в сфере национальной безопасности и  правоохранительной деятельности </t>
  </si>
  <si>
    <t>202 67 00</t>
  </si>
  <si>
    <t>Продовольственное обеспечение</t>
  </si>
  <si>
    <t>202 71 00</t>
  </si>
  <si>
    <t>к  решению Собрания депутатов</t>
  </si>
  <si>
    <t>Миасского городского округа</t>
  </si>
  <si>
    <t>Код бюджетной классификации Российской Федерации</t>
  </si>
  <si>
    <t>Финансовое управление Администрации Миасского городского округа - исполнительно-распорядительный орган Администрации Миасского городского округа</t>
  </si>
  <si>
    <t xml:space="preserve"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</t>
  </si>
  <si>
    <t xml:space="preserve">040 00 40  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</si>
  <si>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</si>
  <si>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 xml:space="preserve">050 10 40  </t>
  </si>
  <si>
    <t xml:space="preserve"> 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</si>
  <si>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</si>
  <si>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</si>
  <si>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</si>
  <si>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 xml:space="preserve">Комитет по управлению имуществом Миасского городского округа </t>
  </si>
  <si>
    <t xml:space="preserve">Перечень 
главных администраторов доходов бюджета Миасского городского округа </t>
  </si>
  <si>
    <t>Наименование главного администратора доходов 
бюджета Миасского городского округа, 
кода бюджетной классификации Российской Федерации</t>
  </si>
  <si>
    <t>главного админист-ратора доходов</t>
  </si>
  <si>
    <t>доходов бюджета Миасского городского округа</t>
  </si>
  <si>
    <t>008</t>
  </si>
  <si>
    <r>
      <t xml:space="preserve">Министерство сельского хозяйства Челябинской области </t>
    </r>
    <r>
      <rPr>
        <b/>
        <sz val="14"/>
        <rFont val="Arial"/>
        <family val="2"/>
      </rPr>
      <t>*</t>
    </r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</si>
  <si>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</si>
  <si>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</si>
  <si>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009</t>
  </si>
  <si>
    <r>
      <t>Министерство по радиационной и экологической безопасности Челябинской области</t>
    </r>
    <r>
      <rPr>
        <b/>
        <sz val="14"/>
        <rFont val="Arial"/>
        <family val="2"/>
      </rPr>
      <t xml:space="preserve"> *</t>
    </r>
  </si>
  <si>
    <t>1 16 25020 01 0000 140</t>
  </si>
  <si>
    <t>1 16 25030 01 0000 140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</si>
  <si>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</si>
  <si>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</si>
  <si>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</si>
  <si>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</si>
  <si>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011</t>
  </si>
  <si>
    <t>Бюджетные инвестиции в объекты капитального строительства, собственности муниципальных образований</t>
  </si>
  <si>
    <t>102 01 02</t>
  </si>
  <si>
    <t>Бюджетные инвестиции</t>
  </si>
  <si>
    <t>003</t>
  </si>
  <si>
    <t>440 00 00</t>
  </si>
  <si>
    <t>440 99 00</t>
  </si>
  <si>
    <t>Программа "Миасс - безопасный город"</t>
  </si>
  <si>
    <t>795 00 01</t>
  </si>
  <si>
    <t>Программа "Муниципальная информационная автоматизированная  система"</t>
  </si>
  <si>
    <t>795 00 02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</si>
  <si>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</si>
  <si>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</si>
  <si>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</si>
  <si>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Программа поддержки и развития малого предпринимательства  Миасского городского округа на 2011-2015гг.</t>
  </si>
  <si>
    <t>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средств, поступивших от государственной корпорации Фонд содействия реформированию жилищно-коммунально</t>
  </si>
  <si>
    <t>098 01 04</t>
  </si>
  <si>
    <t>Областная целевая программа реализации национального проекта "Образование" в Челябинской области</t>
  </si>
  <si>
    <t>522 17 00</t>
  </si>
  <si>
    <t>Областная целевая программа реализации национального проекта "Образование" в Челябинской области за счет субсидии из областного бюджета</t>
  </si>
  <si>
    <t>Расходы за счет иных межбюджетных трансфертов  из областного бюджета на  поощрение лучших педагогических работников и учащихся -победителей конкурсов"  (Областная целевая Программа реализации национального проекта "Образование" в Челябинской области на 2009-2012 годы)</t>
  </si>
  <si>
    <t>522 17 02</t>
  </si>
  <si>
    <t>Прочие доходы от компенсации затрат бюджетов городских округов</t>
  </si>
  <si>
    <t>478 99 00</t>
  </si>
  <si>
    <t>Муниципальная целевая программа "Снижение административных барьеров, оптимизация и повышение качества государственных и муниципальных услуг на базе муниципального автономного учреждения "Многофункциональный центр предоставления государственных и муниципальных услуг" Миасского городского округа"</t>
  </si>
  <si>
    <t>Областная целевая программа "Развитие дошкольного образования в Челябинской области" на 2011-2014 гг. за счет субсидий из областного бюджета</t>
  </si>
  <si>
    <t xml:space="preserve">Национальный проект "Доступное и комфортное жилье - гражданам России" на территории МГО на 2011-2015 гг., </t>
  </si>
  <si>
    <t>Муниципальная целевая программа "Снос аварийного жилищного фонда в 2012 году"</t>
  </si>
  <si>
    <t>795 00 73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</si>
  <si>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</si>
  <si>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</si>
  <si>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1 14 06032 04 0000 430</t>
  </si>
  <si>
    <t>Доходы от продажи земельных участков,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</si>
  <si>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1 14 07020 04 0000 410</t>
  </si>
  <si>
    <t>Доходы от продажи нежвижимого имущества одновременно с занятыми такими объектами недвижимого имущества земельными участками,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</si>
  <si>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2 02 02008 04 0000 151</t>
  </si>
  <si>
    <t>Субсидии бюджетам городских округов на обеспечение жильем молодых семей</t>
  </si>
  <si>
    <t>2 02 02088 04 0002 151</t>
  </si>
  <si>
    <t>2 02 02088 04 0004 151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</si>
  <si>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</si>
  <si>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</si>
  <si>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2 02 03029 04 0000 151</t>
  </si>
  <si>
    <t xml:space="preserve"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- Фонда содействия  реформированию  жилищно-коммунального хозяйства                            </t>
  </si>
  <si>
    <t>2 02 02089 04 0002 151</t>
  </si>
  <si>
    <t>Субсидии бюджетам городских округов на обеспечение мероприятий по переселению граждан из аварийного  жилищного фонда за счет средств бюджетов</t>
  </si>
  <si>
    <t>2 02 02089 04 0004 151</t>
  </si>
  <si>
    <t>от  24.02.2012  № 1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</si>
  <si>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</si>
  <si>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</si>
  <si>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 (другие меры социальной защиты ветеранов в Челябинской области)</t>
  </si>
  <si>
    <t>505 02 12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</si>
  <si>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</si>
  <si>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</si>
  <si>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</si>
  <si>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</si>
  <si>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</si>
  <si>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Собрание депутатов Миасского городского округа</t>
  </si>
  <si>
    <t>Контрольно-счетная палата Миасского городского округа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</si>
  <si>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</si>
  <si>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</si>
  <si>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Программа "Реконструкция и модернизация системы наружного освещения МГО с обеспечением приборного учета электроэнергии на 2008-2010гг" </t>
  </si>
  <si>
    <t>795 00 26</t>
  </si>
  <si>
    <t>Другие вопросы в области жилищно-коммунального хозяйства</t>
  </si>
  <si>
    <t>102 02 00</t>
  </si>
  <si>
    <t>Реконструкция гидротехнических сооружений, находящихся в муниципальной собственности, за счет субсидий из областного бюджета</t>
  </si>
  <si>
    <t>102 02 23</t>
  </si>
  <si>
    <t xml:space="preserve">Бюджетные инвестиции </t>
  </si>
  <si>
    <t>Федеральная целевая программа "Жилище"  на 2002-2010 годы</t>
  </si>
  <si>
    <t>104 00 00</t>
  </si>
  <si>
    <t>104 03 00</t>
  </si>
  <si>
    <t>Подпрограмма "Подготовка земельных участков для освоения в целях жилищного строительства"</t>
  </si>
  <si>
    <t>522 19 12</t>
  </si>
  <si>
    <t>Областная целевая Программа капитального строительства в Челябинской области на 2009-2011 годы</t>
  </si>
  <si>
    <t>522 25 00</t>
  </si>
  <si>
    <t>Развитие социальной и инженерной структуры муниципальных образований</t>
  </si>
  <si>
    <t>523 00 00</t>
  </si>
  <si>
    <t xml:space="preserve">Развитие социальной и инженерной структуры </t>
  </si>
  <si>
    <t>523 01 00</t>
  </si>
  <si>
    <t xml:space="preserve">Программа водоснабжения частного сектора  </t>
  </si>
  <si>
    <t>795 00 21</t>
  </si>
  <si>
    <t>Подпрограмма "Обеспечение земельных участков объектами коммунальной инфраструктуры"</t>
  </si>
  <si>
    <t>Охрана окружающей 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</si>
  <si>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</si>
  <si>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</si>
  <si>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</si>
  <si>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</si>
  <si>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Другие вопросы в области охраны окружающей среды</t>
  </si>
  <si>
    <t>ОЦП Природоохранных мероприятий оздоровления экологической обстановки в Челябинской области на 2006-2010гг.</t>
  </si>
  <si>
    <t>522 14 00</t>
  </si>
  <si>
    <t>Строительство объектов для нужд отрасли</t>
  </si>
  <si>
    <t>213</t>
  </si>
  <si>
    <t>Программа "Экология  Миасского городского округа" на 2006-2010гг.</t>
  </si>
  <si>
    <t>795 00 22</t>
  </si>
  <si>
    <t>Природоохранные мероприятия</t>
  </si>
  <si>
    <t>025</t>
  </si>
  <si>
    <t>Программа "Сбор и утилизация твердых коммунальных и промышленных отходов"</t>
  </si>
  <si>
    <t>795 00 23</t>
  </si>
  <si>
    <t>443</t>
  </si>
  <si>
    <t>в том числе на ликвидацию чрезвычайных ситуаций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</si>
  <si>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за счет субсидий из областного бюджета </t>
  </si>
  <si>
    <t>315 02 03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</si>
  <si>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</t>
  </si>
  <si>
    <t>915</t>
  </si>
  <si>
    <t>600 00 00</t>
  </si>
  <si>
    <t>Уличное освещение</t>
  </si>
  <si>
    <t>600 01 00</t>
  </si>
  <si>
    <t>600 01 68</t>
  </si>
  <si>
    <t>Мероприятия в области здравоохранения,
спорта и физической культуры, туризма</t>
  </si>
  <si>
    <t>795 00 34</t>
  </si>
  <si>
    <t>Программа "Питание детей второго года жизни в Миасском городском округе на 2008-2010гг"</t>
  </si>
  <si>
    <t>795 00 36</t>
  </si>
  <si>
    <t>Учреждения социального обслуживания населения</t>
  </si>
  <si>
    <t>507 00 00</t>
  </si>
  <si>
    <t>317 82 00</t>
  </si>
  <si>
    <t>317 82 10</t>
  </si>
  <si>
    <t>352 00 00</t>
  </si>
  <si>
    <t>352 02 00</t>
  </si>
  <si>
    <t>Капитальный ремонт муниципального жилищного фонда</t>
  </si>
  <si>
    <t>600 82 00</t>
  </si>
  <si>
    <t>600 82 10</t>
  </si>
  <si>
    <t xml:space="preserve">Субсидии бюджетным и автономным учреждениям на финансовое обеспечение муниципального задания на оказание муниципальных услуг (выполнение работ) </t>
  </si>
  <si>
    <t>Субсидии бюджетным и автономным учреждениям на иные цели</t>
  </si>
  <si>
    <t>Подпрограмма "Предоставление работникам бюджетной сферы социальных выплат на приобретение или стр-во жилья"</t>
  </si>
  <si>
    <t>795 19 15</t>
  </si>
  <si>
    <t>Охрана семьи и детства</t>
  </si>
  <si>
    <t>Выплата единовременного пособия при всех формах устройства детей,лишенных родительского попечения, в семью</t>
  </si>
  <si>
    <t>505 05 02</t>
  </si>
  <si>
    <t>Иные  безвозмездные и безвозвратные перечисления</t>
  </si>
  <si>
    <t>Компенсация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</si>
  <si>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520 10 00 </t>
  </si>
  <si>
    <t>Расходы за счет субвенций из областного бюджета на компенсацию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</si>
  <si>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520 10 41 </t>
  </si>
  <si>
    <t xml:space="preserve">Содержание ребенка в семье опекуна и приемной семье, а также оплата труда приемного родителя </t>
  </si>
  <si>
    <t>520 13 00</t>
  </si>
  <si>
    <t>Расходы за счет субвенций из областного бюджета на выплату денежных средств на содержание ребенка в семье опекуна и приемной семье, оплату труда приемного родителя, а также на предоставление дополнительных гарантий</t>
  </si>
  <si>
    <t>Выплаты приемной семье на содержание подопечных детей</t>
  </si>
  <si>
    <t>520 13 11</t>
  </si>
  <si>
    <t>Содержание ребенка в семье опекуна и приемной семье, а также оплата труда приемного родителя</t>
  </si>
  <si>
    <t>909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</si>
  <si>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</si>
  <si>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</si>
  <si>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</si>
  <si>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</si>
  <si>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520 13 20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</si>
  <si>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</si>
  <si>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>Другие вопросы в области социальной политики</t>
  </si>
  <si>
    <t xml:space="preserve">Организация работы органов управления социальной защиты населения муниципальных образований </t>
  </si>
  <si>
    <t>002 04 46</t>
  </si>
  <si>
    <t>Расходы на обеспечение деятельности по предоставлению гражданам субсидий</t>
  </si>
  <si>
    <t>002 04 34</t>
  </si>
  <si>
    <t>Расходы за счет субвенции из областного бюджета на организацию и осуществление деятельности по опеке и попечительству</t>
  </si>
  <si>
    <t>002 04 44</t>
  </si>
  <si>
    <t>002 04 74</t>
  </si>
  <si>
    <t>518 02 42</t>
  </si>
  <si>
    <t>ВСЕГО РАСХОДОВ</t>
  </si>
  <si>
    <t>ПРОФИЦИТ БЮДЖЕТА (со знаком "плюс") или ДЕФИЦИТ БЮДЖЕТА (со знаком "минус")</t>
  </si>
  <si>
    <t xml:space="preserve"> ИСТОЧНИКИ ВНУТРЕННЕГО ФИНАНСИРОВАНИЯ</t>
  </si>
  <si>
    <t>000</t>
  </si>
  <si>
    <t>000 00 00</t>
  </si>
  <si>
    <t>Бюджетные кредиты от других бюджетов бюджетной  системы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</si>
  <si>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</si>
  <si>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000 04 00</t>
  </si>
  <si>
    <t>700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</si>
  <si>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</si>
  <si>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800</t>
  </si>
  <si>
    <t>Продажа земельных участков, находящихся в государственной и муниципальной собственности</t>
  </si>
  <si>
    <t>Остатки средств бюджетов</t>
  </si>
  <si>
    <t>010 00 00</t>
  </si>
  <si>
    <t>Иные источники внутреннего финансирования  дефицитов бюджетов</t>
  </si>
  <si>
    <t>447</t>
  </si>
  <si>
    <t>Стационарная медицинская помощь</t>
  </si>
  <si>
    <t>Учреждения, обеспечивающие предоставление услуг в сфере здравоохранения</t>
  </si>
  <si>
    <t>469 00 00</t>
  </si>
  <si>
    <t>469 99 00</t>
  </si>
  <si>
    <t>Больницы, клиники, госпитали,МСЧ</t>
  </si>
  <si>
    <t>470 00 00</t>
  </si>
  <si>
    <t>470 99 00</t>
  </si>
  <si>
    <t xml:space="preserve">09 </t>
  </si>
  <si>
    <t>Программа "Профилактика противодействия незаконному обороту и употреблению наркотических средств" на 2010 - 2012гг.</t>
  </si>
  <si>
    <t>Программа "Профилактика противодействия незаконному обороту и употреблению наркотических средств" на 2010-2012гг.</t>
  </si>
  <si>
    <t xml:space="preserve">Программа "Осуществление дополнительных мер социальной поддержки населения МГО в части проезда в городском и пригородном транспорте общего пользования" </t>
  </si>
  <si>
    <t>Получение кредитов от кредитных организаций бюджетами городских округов в валюте РФ</t>
  </si>
  <si>
    <t>01  02  00  00  00  0000  800</t>
  </si>
  <si>
    <t>Субсидии бюджетным и автономным учреждениям на проведение текущего ремонта зданий</t>
  </si>
  <si>
    <t>Приложение № 1</t>
  </si>
  <si>
    <r>
      <t xml:space="preserve">Денежные взыскания (штрафы) за нарушение законодательства </t>
    </r>
    <r>
      <rPr>
        <sz val="10"/>
        <color indexed="10"/>
        <rFont val="Arial"/>
        <family val="2"/>
      </rPr>
      <t>Российской Федерации</t>
    </r>
    <r>
      <rPr>
        <sz val="10"/>
        <rFont val="Arial"/>
        <family val="2"/>
      </rPr>
      <t xml:space="preserve"> об особо охраняемых природных территориях</t>
    </r>
  </si>
  <si>
    <r>
      <t xml:space="preserve">Денежные взыскания (штрафы) за нарушение законодательства </t>
    </r>
    <r>
      <rPr>
        <sz val="10"/>
        <color indexed="10"/>
        <rFont val="Arial"/>
        <family val="2"/>
      </rPr>
      <t>Российской Федерации</t>
    </r>
    <r>
      <rPr>
        <sz val="10"/>
        <rFont val="Arial"/>
        <family val="2"/>
      </rPr>
      <t xml:space="preserve"> об охране и использовании животного мира</t>
    </r>
  </si>
  <si>
    <r>
      <t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</t>
    </r>
    <r>
      <rPr>
        <sz val="10"/>
        <color indexed="10"/>
        <rFont val="Arial"/>
        <family val="2"/>
      </rPr>
      <t>а</t>
    </r>
    <r>
      <rPr>
        <sz val="10"/>
        <rFont val="Arial"/>
        <family val="2"/>
      </rPr>
      <t xml:space="preserve"> содействия  реформированию  жилищно-коммунального хозяйства                            </t>
    </r>
  </si>
  <si>
    <r>
      <t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</t>
    </r>
    <r>
      <rPr>
        <sz val="10"/>
        <color indexed="10"/>
        <rFont val="Arial"/>
        <family val="2"/>
      </rPr>
      <t>а</t>
    </r>
    <r>
      <rPr>
        <sz val="10"/>
        <rFont val="Arial"/>
        <family val="0"/>
      </rPr>
      <t xml:space="preserve"> содействия  реформированию  жилищно-коммунального хозяйства                            </t>
    </r>
  </si>
  <si>
    <r>
  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</t>
    </r>
    <r>
      <rPr>
        <sz val="10"/>
        <color indexed="10"/>
        <rFont val="Arial"/>
        <family val="2"/>
      </rPr>
      <t>а</t>
    </r>
    <r>
      <rPr>
        <sz val="10"/>
        <rFont val="Arial"/>
        <family val="0"/>
      </rPr>
      <t xml:space="preserve"> содействия реформированию жилищно-коммунального хозяйства</t>
    </r>
  </si>
  <si>
    <r>
      <t xml:space="preserve">Платежи, взимаемые органами </t>
    </r>
    <r>
      <rPr>
        <sz val="10"/>
        <color indexed="10"/>
        <rFont val="Arial"/>
        <family val="2"/>
      </rPr>
      <t>местного</t>
    </r>
    <r>
      <rPr>
        <sz val="10"/>
        <rFont val="Arial"/>
        <family val="0"/>
      </rPr>
      <t xml:space="preserve"> управления (организациями) городских округов за выполнение определенных функций</t>
    </r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</si>
  <si>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года)</t>
  </si>
  <si>
    <t>Примечание. *                                                                                                                                                           Главными администраторами доходов бюджета Миасского городского округа являются уполномоченные органы исполнительной власти Челябинской области (Постановление Правительства Челябинской области от 20.03.2008 г. №52-П "О порядке осуществления органами государственной власти Челябинской области и (или) находящимися в их ведении областными казенными учреждениями бюджетных полномочий главных администраторов доходов бюджетов бюджетной системы Российской Федерации")</t>
  </si>
  <si>
    <t>Приложение 2</t>
  </si>
  <si>
    <t>Приложение 3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</si>
  <si>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</si>
  <si>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</si>
  <si>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за счет субсидий из областного бюджета</t>
  </si>
  <si>
    <t>600 02 66</t>
  </si>
  <si>
    <t>Озеленение</t>
  </si>
  <si>
    <t>600 03 00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</si>
  <si>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</si>
  <si>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2 02 03013 04 0000 151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</si>
  <si>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</si>
  <si>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</si>
  <si>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</si>
  <si>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2 02 03027 04 0000 151</t>
  </si>
  <si>
    <r>
      <t xml:space="preserve">Субвенции бюджетам городских округов на содержание ребенка в семье опекуна и приемной семье, а также </t>
    </r>
    <r>
      <rPr>
        <sz val="10"/>
        <rFont val="Arial"/>
        <family val="2"/>
      </rPr>
      <t>вознаграждение, причитающееся приемному родителю</t>
    </r>
  </si>
  <si>
    <t>1 08 07150 01 0000 110</t>
  </si>
  <si>
    <t>Государственная пошлина за выдачу разрешения на установку рекламной конструкции</t>
  </si>
  <si>
    <t>1 11 01040 04 0000 120</t>
  </si>
  <si>
    <t>Субсидии бюджетам городских округов на закупку автотранспортных средств и коммунальной техники</t>
  </si>
  <si>
    <t>2 02 03026 04 0000 151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</si>
  <si>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</si>
  <si>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</si>
  <si>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 xml:space="preserve">Иные доходы бюджета Миасского городского округа,
администрирование которых может осуществляться главными администраторами доходов бюджета Миасского городского округа в пределах их компетенции: </t>
  </si>
  <si>
    <t>1 11 09024 04 0000 120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</si>
  <si>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</si>
  <si>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1 14 03040 04 0000 410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</si>
  <si>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</si>
  <si>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</si>
  <si>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</si>
  <si>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1 15 02040 04 0000 140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</si>
  <si>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</si>
  <si>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</si>
  <si>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</si>
  <si>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</si>
  <si>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</si>
  <si>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</si>
  <si>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</si>
  <si>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</si>
  <si>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2 02 02999 04 0000 151</t>
  </si>
  <si>
    <t>Прочие субсидии бюджетам городских округов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</si>
  <si>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</si>
  <si>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</si>
  <si>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2 02 03999 04 0000 151</t>
  </si>
  <si>
    <t>Прочие субвенции бюджетам городских округов</t>
  </si>
  <si>
    <t>2 02 04999 04 0000 151</t>
  </si>
  <si>
    <t>Прочие межбюджетные трансферты, передаваемые бюджетам городских округов</t>
  </si>
  <si>
    <t>2 07 04000 04 0000 180</t>
  </si>
  <si>
    <t>Прочие безвозмездные поступления в бюджеты городских округов</t>
  </si>
  <si>
    <t>Прочие мероприятия по благоустройству городских округов и поселений</t>
  </si>
  <si>
    <t>600 05 00</t>
  </si>
  <si>
    <t>Программа по поддержанию дорог и дорожных сооружений МГО в проезжем состоянии на 2008-2010гг.</t>
  </si>
  <si>
    <t>795 00 09</t>
  </si>
  <si>
    <t>Целевая программа "Содержание и благоустройство кладбищ Миасского городского округа на 2010г"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</si>
  <si>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</si>
  <si>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351 03 00</t>
  </si>
  <si>
    <t>Мероприятия в области коммунального хозяйства</t>
  </si>
  <si>
    <t>351 05 00</t>
  </si>
  <si>
    <t xml:space="preserve">Подпрограмма "Модернизация объектов коммунальной инфраструктуры" </t>
  </si>
  <si>
    <t>522 19 11</t>
  </si>
  <si>
    <t>Программа "Содержание и благоустройство кладбищ Миасского городского округа на 2006-2010гг."</t>
  </si>
  <si>
    <t>795 00 06</t>
  </si>
  <si>
    <t>Программа экономии хозпитьевой воды, улучшение экологической обстановки МГО на 2008-2010гг.</t>
  </si>
  <si>
    <t>795 00 24</t>
  </si>
  <si>
    <t>Программа "О развитии энергосбережения в МГО на 2006-2010гг."</t>
  </si>
  <si>
    <t>795 00 25</t>
  </si>
  <si>
    <t xml:space="preserve">Национальный проект "Доступное и комфортное жилье - гражданам России" на территории МГО на 2006-2010 гг., </t>
  </si>
  <si>
    <t>795 19 00</t>
  </si>
  <si>
    <t>795 19 11</t>
  </si>
  <si>
    <t>Благоустройство</t>
  </si>
  <si>
    <t>ОАП "Капитальный ремонт многоквартирных домов в Челябинской области на 2008-2011 гг. за счет средств Фонда реформирования ЖКХ</t>
  </si>
  <si>
    <t>522 21 22</t>
  </si>
  <si>
    <t>ОАП "Капитальный ремонт многоквартирных домов в Челябинской области на 2008-2011 гг. за счет средств областного бюджета</t>
  </si>
  <si>
    <t>522 21 23</t>
  </si>
  <si>
    <t>Программа "Кровля" МГО на 2006-2010гг</t>
  </si>
  <si>
    <t>795 00 07</t>
  </si>
  <si>
    <t>Программа  "Лифт МГО на 2008-2010"</t>
  </si>
  <si>
    <t>795 00 08</t>
  </si>
  <si>
    <t>Национальный проект "Доступное и комфортное жилье - гражданам России" на территории МГО на 2006-2010 гг.</t>
  </si>
  <si>
    <t xml:space="preserve">795 19 00 </t>
  </si>
  <si>
    <t>795 19 13</t>
  </si>
  <si>
    <t>Программа "Капитальное строительство на территории Миасского городского округа на 2009-2011 годы"</t>
  </si>
  <si>
    <t>795 25 00</t>
  </si>
  <si>
    <t>Коммунальное хозяйство</t>
  </si>
  <si>
    <t>Дорожное хозяйство</t>
  </si>
  <si>
    <t>351 00 00</t>
  </si>
  <si>
    <t>Отдельные мероприятия в области дорожного хозяйства</t>
  </si>
  <si>
    <t>365</t>
  </si>
  <si>
    <t xml:space="preserve">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</si>
  <si>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</si>
  <si>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</si>
  <si>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2 02 03007 04 0000 151</t>
  </si>
  <si>
    <t>1 11 02032 04 0000 120</t>
  </si>
  <si>
    <t>Доходы от размещения временно свободных средств бюджетов городских округов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</si>
  <si>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</si>
  <si>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</si>
  <si>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2 02 01001 04 0000 151</t>
  </si>
  <si>
    <t>Дотации бюджетам городских округов на выравнивание бюджетной обеспеченности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</si>
  <si>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</si>
  <si>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</si>
  <si>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2 08 04000 04 0000 180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</si>
  <si>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</si>
  <si>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Управление социальной защиты населения 
Администрации Миасского городского округа</t>
  </si>
  <si>
    <t>2 02 03001 04 0000 151</t>
  </si>
  <si>
    <t>на 2012 год                 (тыс. руб.)</t>
  </si>
  <si>
    <t>Предоставление субсидий бюджетным учреждениям</t>
  </si>
  <si>
    <t>Обеспечение деятельности (оказание услуг) подведомственных казенных учреждений</t>
  </si>
  <si>
    <t>Выполнение функций казенными учреждениями</t>
  </si>
  <si>
    <t>Реализация других функций, связанных с обеспечением национальной безопасности и правоохранительной деятельности</t>
  </si>
  <si>
    <t>611</t>
  </si>
  <si>
    <t>Муниципальная целевая программа "Поддержка и развитие дошкольного образования в Миасском городском округе на 2011-2012 годы"</t>
  </si>
  <si>
    <t>795 00 45</t>
  </si>
  <si>
    <t>Органы юстиции</t>
  </si>
  <si>
    <t>Лицензирование розничной продажи алкогольной продукции за счет субвенций из областного бюджета</t>
  </si>
  <si>
    <t>002 04 98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</si>
  <si>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</si>
  <si>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1 11 08040 04 0000 120</t>
  </si>
  <si>
    <t xml:space="preserve"> 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</si>
  <si>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1 11 09044 04 0000 120</t>
  </si>
  <si>
    <r>
  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</t>
    </r>
    <r>
      <rPr>
        <sz val="10"/>
        <rFont val="Arial"/>
        <family val="2"/>
      </rPr>
      <t>бюджетных и</t>
    </r>
    <r>
      <rPr>
        <sz val="10"/>
        <rFont val="Arial"/>
        <family val="0"/>
      </rPr>
      <t xml:space="preserve"> автономных учреждений, а также имущества муниципальных унитарных предприятий, в том числе казенных) </t>
    </r>
  </si>
  <si>
    <t>1 14 01040 04 0000 410</t>
  </si>
  <si>
    <r>
      <t xml:space="preserve">Доходы </t>
    </r>
    <r>
      <rPr>
        <sz val="10"/>
        <rFont val="Arial"/>
        <family val="0"/>
      </rPr>
      <t xml:space="preserve"> от продажи квартир, находящихся в собственности городских округов</t>
    </r>
  </si>
  <si>
    <t>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</si>
  <si>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421 99 59</t>
  </si>
  <si>
    <t>Расходы на оплату ТЭР, услуг водоснабжения,водоотведения, потребляемых МБУ и эл.энергии, расходуемой на уличное освещение за счет субсидий из областного  бюджета</t>
  </si>
  <si>
    <t>421 99 68</t>
  </si>
  <si>
    <t>Расходы на выплату библиотечным работникам лечебного пособия и ежемесячной надбавки к заработной плате за выслугу лет за счет субсидий из областного бюджета</t>
  </si>
  <si>
    <t>421 99 70</t>
  </si>
  <si>
    <t>Код бюджетной классификации РФ</t>
  </si>
  <si>
    <t>Доходы бюджетов городских округов от возврата автономными учреждениями остатков субсидий прошлых лет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</si>
  <si>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</si>
  <si>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</si>
  <si>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2 19 04000 04 0000 151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</si>
  <si>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</si>
  <si>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900</t>
  </si>
  <si>
    <t>423 99 01</t>
  </si>
  <si>
    <t>423 99 68</t>
  </si>
  <si>
    <t>Детские дома</t>
  </si>
  <si>
    <t>424 00 00</t>
  </si>
  <si>
    <t>424 99 00</t>
  </si>
  <si>
    <t>424  99 00</t>
  </si>
  <si>
    <t>424 99 70</t>
  </si>
  <si>
    <t>Здравоохранение</t>
  </si>
  <si>
    <t>Мероприятия в области здравоохранения</t>
  </si>
  <si>
    <t>Культура, кинематография</t>
  </si>
  <si>
    <t>Расходы за счет субвенций из областного бюджета на содержание и обеспечение деятельности детских домов</t>
  </si>
  <si>
    <t>424 99 75</t>
  </si>
  <si>
    <t xml:space="preserve">Специальные (коррекционные) учреждения </t>
  </si>
  <si>
    <t>433 00 00</t>
  </si>
  <si>
    <t>433 99 00</t>
  </si>
  <si>
    <t>433 99 70</t>
  </si>
  <si>
    <t xml:space="preserve">Расходы за счет субвенции из областного бюджета на организацию предоставления дошкольного и общего образования по основным общеобразовательным программамв муниципальных специальных (коррекционных) образовательных учреждениях для обучающихся воспитанников </t>
  </si>
  <si>
    <t>433 99 82</t>
  </si>
  <si>
    <t>Мероприятия в области образования</t>
  </si>
  <si>
    <t>436 00 00</t>
  </si>
  <si>
    <t xml:space="preserve">                     на празднование 235-летия Миасса</t>
  </si>
  <si>
    <t>Общеэкономические вопросы</t>
  </si>
  <si>
    <t>Иные безвозмездные и безвозвратные перечисления</t>
  </si>
  <si>
    <t xml:space="preserve">520 00 00 </t>
  </si>
  <si>
    <t>Организация общественных работ</t>
  </si>
  <si>
    <t>Дошкольное образование</t>
  </si>
  <si>
    <t>Детские дошкольные учреждения</t>
  </si>
  <si>
    <t>420 00 00</t>
  </si>
  <si>
    <t>420 99 00</t>
  </si>
  <si>
    <t>Ремонт и противопожарные мероприятия в учреждениях образования муниципальных образований за счет субсидий из областного бюджета</t>
  </si>
  <si>
    <t>901</t>
  </si>
  <si>
    <t>Расходы за счет субсидий из областного бюджета на выплату ежемесячноцй надбавки к заработной плате молодым специалистам и оказание единовременной материальной помощи молодым специалистам</t>
  </si>
  <si>
    <t>420 99 01</t>
  </si>
  <si>
    <t>Реализация национального проекта "Образование" в Челябинской области</t>
  </si>
  <si>
    <t>908</t>
  </si>
  <si>
    <t xml:space="preserve">Обеспечение продуктами питания учреждений социальной сферы муниципальных образований </t>
  </si>
  <si>
    <t>420 99 62</t>
  </si>
  <si>
    <t>Организация воспитания и обучения детей-инвалидов на дому и в дошкольных учреждениях</t>
  </si>
  <si>
    <t>420 99 67</t>
  </si>
  <si>
    <t>Детские дошкольные учреждения за счет субсидий из областного бюджета</t>
  </si>
  <si>
    <t>420 99 71</t>
  </si>
  <si>
    <t>Областная целевая программа "Развитие дошкольного образования в Челябинской области" на 2006-2010 гг. за счет субсидий из областного бюджета</t>
  </si>
  <si>
    <t>522 15 00</t>
  </si>
  <si>
    <t>Общее образование</t>
  </si>
  <si>
    <t>Резервный фонд Президента Российской Федерации</t>
  </si>
  <si>
    <t>070 02 00</t>
  </si>
  <si>
    <t>Школы-детские сады, школы начальные, неполные средние и средние</t>
  </si>
  <si>
    <t>421 00 00</t>
  </si>
  <si>
    <t>421 99 00</t>
  </si>
  <si>
    <t>Обеспечение продуктами питания учреждений социальной сферы муниципальных образований из областного фонда продовольствия</t>
  </si>
  <si>
    <t>904</t>
  </si>
  <si>
    <t>421 99 01</t>
  </si>
  <si>
    <t>Мероприятия в области здравоохранения, спорта и физической культуры, туризма</t>
  </si>
  <si>
    <t>421 99 02</t>
  </si>
  <si>
    <t>Погашение кредитов, предоставленных кредитными организациями в валюте Российской Федерации</t>
  </si>
  <si>
    <t>01  02  00  00  04  0000  810</t>
  </si>
  <si>
    <t>Погашение бюджетами городских округов кредитов от кредитных организаций в валюте РФ</t>
  </si>
  <si>
    <t>01  03  00  00  00  0000  000</t>
  </si>
  <si>
    <t>01  03  00  00  00  0000  700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</si>
  <si>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</si>
  <si>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007</t>
  </si>
  <si>
    <r>
      <t>Контрольно-счетная палата Челябинской области</t>
    </r>
    <r>
      <rPr>
        <b/>
        <sz val="14"/>
        <rFont val="Arial"/>
        <family val="2"/>
      </rPr>
      <t xml:space="preserve"> *</t>
    </r>
  </si>
  <si>
    <t>Суммы по искам о возмещении вреда, причиненного окружающей среде, подлежащие зачислению в бюджеты городских округов</t>
  </si>
  <si>
    <t>Погашение бюджетами городских округов бюджетных кредитов от других бюджетов бюджетной системы РФ в валюте РФ</t>
  </si>
  <si>
    <t>01  05  00  00  00  0000  000</t>
  </si>
  <si>
    <t>Изменение остатков средств на счетах по учету  средств бюджета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</si>
  <si>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</si>
  <si>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</si>
  <si>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</si>
  <si>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</si>
  <si>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</si>
  <si>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</si>
  <si>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01  05  02  01  04  0000  610</t>
  </si>
  <si>
    <t>Уменьшение прочих остатков денежных средств  бюджетов городских округов</t>
  </si>
  <si>
    <t>01  06  00  00  00  0000  000</t>
  </si>
  <si>
    <t>01  06  04  00  00  0000  000</t>
  </si>
  <si>
    <t>Исполнение государственных и муниципальных  гарантий в валюте Российской Федерации</t>
  </si>
  <si>
    <t>01  06  04  00  00  0000  800</t>
  </si>
  <si>
    <t>795 00 67</t>
  </si>
  <si>
    <t>Программа "Противопожарная безопасность учреждений здравоохранения Миасского городского округа на 2010-2012гг."</t>
  </si>
  <si>
    <t>795 00 32</t>
  </si>
  <si>
    <t>Программа "Профилактика клещевого энцефалита в Миасском городском округе на 2010-2012 гг."</t>
  </si>
  <si>
    <t>795 00 33</t>
  </si>
  <si>
    <t>Целевая программа "Улучшение качества жизни больных бронхиальной астмой" на 2006-2010 годы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</si>
  <si>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</si>
  <si>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Программа "Профилактика противодействия незаконному обороту и употреблению наркотических средств"</t>
  </si>
  <si>
    <t>795 00 41</t>
  </si>
  <si>
    <t>Программа развития образования на 2010-2012гг.</t>
  </si>
  <si>
    <t>795 00 42</t>
  </si>
  <si>
    <t>Программа "Безопасность образовательного учреждения МГО на 2010-2012 " Ремонт и противопожарные мероприятия в образовательных учреждениях муниципальных образований за счет средств местного бюджета</t>
  </si>
  <si>
    <t>795 00 43</t>
  </si>
  <si>
    <t>Муниципальная целевая программа временной трудовой занятости молодежи "Трудовое лето 2010"</t>
  </si>
  <si>
    <t>795 00 66</t>
  </si>
  <si>
    <t>795 17 44</t>
  </si>
  <si>
    <t xml:space="preserve">Культура </t>
  </si>
  <si>
    <t>Ремонт и противопожарные мероприятия в учреждениях культуры муниципальных образований за счет субсидий из областного бюджета</t>
  </si>
  <si>
    <t>902</t>
  </si>
  <si>
    <t>440 99 68</t>
  </si>
  <si>
    <t>Музей и постоянные выставки</t>
  </si>
  <si>
    <t>441 00 00</t>
  </si>
  <si>
    <t>441 99 00</t>
  </si>
  <si>
    <t>441 99 68</t>
  </si>
  <si>
    <t>Библиотеки</t>
  </si>
  <si>
    <t>442 00 00</t>
  </si>
  <si>
    <t>442 99 00</t>
  </si>
  <si>
    <t>442 99 68</t>
  </si>
  <si>
    <t>442 99 70</t>
  </si>
  <si>
    <t>Комплектование книжных фондов библиотек муниципальных образований</t>
  </si>
  <si>
    <t>450 06 00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</si>
  <si>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</si>
  <si>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450 06 03</t>
  </si>
  <si>
    <t>Другие вопросы в области культуры, кинематографии и средств массовой информации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</si>
  <si>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</si>
  <si>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002 04 97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</si>
  <si>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</si>
  <si>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</si>
  <si>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 местных администраций</t>
  </si>
  <si>
    <t>070 05 00</t>
  </si>
  <si>
    <t xml:space="preserve">00 140 00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</si>
  <si>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</si>
  <si>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</si>
  <si>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Организация работы финансовых органов муниципальных образований за счет субсидий из областного бюджета</t>
  </si>
  <si>
    <t>002 04 60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</si>
  <si>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</si>
  <si>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</si>
  <si>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</si>
  <si>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</si>
  <si>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</si>
  <si>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</si>
  <si>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</si>
  <si>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</si>
  <si>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</si>
  <si>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</si>
  <si>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</si>
  <si>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</si>
  <si>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</si>
  <si>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</si>
  <si>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</si>
  <si>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</si>
  <si>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12</t>
  </si>
  <si>
    <t>070 00 00</t>
  </si>
  <si>
    <t xml:space="preserve">Прочие расходы </t>
  </si>
  <si>
    <t>14</t>
  </si>
  <si>
    <t>Руководство и управление в сфере установленных функций</t>
  </si>
  <si>
    <t>001 00 00</t>
  </si>
  <si>
    <t>Муниципальная целевая программа медернизации здравоохранения Миасского городского округа на 2011-2012 г.г.</t>
  </si>
  <si>
    <t>795 00 30</t>
  </si>
  <si>
    <t>Муниципальная целевая программа "Содержание, ремонт и реконструкция спортивных сооружений Миасского городского округа в 2012-2015 гг"</t>
  </si>
  <si>
    <t>795 00 74</t>
  </si>
  <si>
    <t>440 82 23</t>
  </si>
  <si>
    <t>Субсидии бюджетным и автономным учреждениям на приобретение оборудования</t>
  </si>
  <si>
    <t>440 82 20</t>
  </si>
  <si>
    <t>440 82 22</t>
  </si>
  <si>
    <t>Главное управление Министерства внутренних дел Российской Федерации по Челябинской области
(Отдел Министерства внутренних дел Российской Федерации 
по городу Миассу Челябинской области)</t>
  </si>
  <si>
    <t xml:space="preserve"> ГА ГАД=048 приказ №103 от 24.02.11 ФС по надзору в сфере природопольлзования</t>
  </si>
  <si>
    <t>1 08 07083 01 0000 110</t>
  </si>
  <si>
    <t>Государственная пошлина за совершение действий, связанных с лицензированием, с проведением аттестации в  случаях, если такая аттестация предусмотрена законодательством Российской  Федерации, зачисляемая в бюджеты городских округов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</si>
  <si>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</si>
  <si>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1 11 05012 04 0000 120</t>
  </si>
  <si>
    <t>1 14 02042 04 0000 410</t>
  </si>
  <si>
    <t>1 14 02043 04 0000 410</t>
  </si>
  <si>
    <t>1 14 02042 04 0000 440</t>
  </si>
  <si>
    <t>1 14 02043 04 0000 440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</si>
  <si>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</si>
  <si>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2 02 02051 04 0000 151</t>
  </si>
  <si>
    <t>Субсидии бюджетам городских округов на реализацию федеральных целевых программ</t>
  </si>
  <si>
    <t>2 02 03077 04 0000 151</t>
  </si>
  <si>
    <t>Расходы за счет субвенции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репрессий" в ЧО (ежемесячная денежная выплата на оплату жилья и коммунальных услуг и единовременная денежная выплата на цели отопления)</t>
  </si>
  <si>
    <t>505 55 35</t>
  </si>
  <si>
    <t>Оказание других видов социальной помощи</t>
  </si>
  <si>
    <t>505 86 00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</si>
  <si>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</si>
  <si>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</si>
  <si>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</si>
  <si>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</si>
  <si>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Областная целевая программа реализации национального проекта "Доступное и комфортное жилье  - гражданам России" в Челябинской области за счет субсидии из областного бюджета"</t>
  </si>
  <si>
    <t>Подпрограмма "Оказание молодым семьям господдержки для улучшения жил.условий"</t>
  </si>
  <si>
    <t>522 19 14</t>
  </si>
  <si>
    <t>Программа "Организация круглосуточной, неотложной эндоскопической, отоларингологической, офтальмологической, урологической неврологической помощи в МГО на 2008 год"</t>
  </si>
  <si>
    <t>795 00 62</t>
  </si>
  <si>
    <t>Нац.проект "Здоровье" на территории  Миасского городского округа на 2010-2012 гг.</t>
  </si>
  <si>
    <t>ЦП "Капитальное строительство на территории Миасского городского округа на 2009-2011 годы"</t>
  </si>
  <si>
    <t>Социальная политика</t>
  </si>
  <si>
    <t>00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</si>
  <si>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</si>
  <si>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</si>
  <si>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</si>
  <si>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</si>
  <si>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</si>
  <si>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обслуживание населения</t>
  </si>
  <si>
    <t xml:space="preserve"> Собрание депутатов Миасского городского округа</t>
  </si>
  <si>
    <t>291</t>
  </si>
  <si>
    <t>Контрольно - Счетная палата Миасского городского округа</t>
  </si>
  <si>
    <t>292</t>
  </si>
  <si>
    <t>Администрация Миасского городского округа</t>
  </si>
  <si>
    <t>283</t>
  </si>
  <si>
    <t>Обеспечение деятельности финансовых, налоговых и таможенных органов и органов надзора</t>
  </si>
  <si>
    <t>Больницы, клиники, госпитали, МСЧ</t>
  </si>
  <si>
    <t>506 00 00</t>
  </si>
  <si>
    <t>327</t>
  </si>
  <si>
    <t>Федеральная целевая программа "Жилище"  на 2002-2010 годы (второй этап)</t>
  </si>
  <si>
    <t>Подпрограмма "Обеспечение жильем молодых семей"</t>
  </si>
  <si>
    <t>104 02 00</t>
  </si>
  <si>
    <t>505 33 00</t>
  </si>
  <si>
    <t>Обеспечение жилыми помещениями дете-сирот, детей, оставшихся без попечения родителей, атакже детей, находящихся под опекой (попечительством), не имеющих закрепленного жилого помещения</t>
  </si>
  <si>
    <t>505 85 00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</si>
  <si>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</si>
  <si>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505 22 05</t>
  </si>
  <si>
    <t>Обеспечение мер социальной поддержки для лиц, награжденных знаком "Почетный донор СССР", "Почетный донор России"</t>
  </si>
  <si>
    <t>505 29 01</t>
  </si>
  <si>
    <t>Расходы за счет субвенции из областного бюджета на обеспечение мер социальной поддержки граждан, имеющих звание "Ветерано труда Челябинской области" (ежеквартальные денежные выплаты на оплату проезда)</t>
  </si>
  <si>
    <t>505 33 31</t>
  </si>
  <si>
    <t>505 33 32</t>
  </si>
  <si>
    <t>Подпрограмма "Предоставление работникам бюджетной сферы безвозмездных субсидий на приобретение или строительство жилья"</t>
  </si>
  <si>
    <t>Комитет по управлению имуществом Миасского городского округа</t>
  </si>
  <si>
    <t>Приложение 4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</si>
  <si>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(ежеквартальные денежные выплаты на оплату проезда)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</si>
  <si>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(другие меры социальной поддержки ветеранов труда и труженников тыла)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</si>
  <si>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ЧО (другие меры социальной поддержки лиц и лиц, признанных пострадавшими от политических репрессий в ЧО)</t>
  </si>
  <si>
    <t>287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</si>
  <si>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</si>
  <si>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1 11 02084 04 0000 120</t>
  </si>
  <si>
    <r>
      <t>Доходы от размещения сумм, аккумулируемых</t>
    </r>
    <r>
      <rPr>
        <sz val="10"/>
        <rFont val="Arial"/>
        <family val="0"/>
      </rPr>
      <t xml:space="preserve"> в ходе проведения аукционов по продаже акций, находящихся в собственности городских округов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</si>
  <si>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</si>
  <si>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</si>
  <si>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r>
  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</t>
    </r>
    <r>
      <rPr>
        <sz val="10"/>
        <rFont val="Arial"/>
        <family val="2"/>
      </rPr>
      <t>бюджетных и</t>
    </r>
    <r>
      <rPr>
        <sz val="10"/>
        <rFont val="Arial"/>
        <family val="0"/>
      </rPr>
      <t xml:space="preserve"> автономных учреждений) </t>
    </r>
  </si>
  <si>
    <t>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</si>
  <si>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</si>
  <si>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</si>
  <si>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</si>
  <si>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>1 11 07014 04 0000 120</t>
  </si>
  <si>
    <t>440 82 00</t>
  </si>
  <si>
    <t>Финансовое обеспечение муниципального задания на оказание муниципальных услуг (выполнение работ)</t>
  </si>
  <si>
    <t>440 82 10</t>
  </si>
  <si>
    <t>Расходы на реализацию мероприятий по обеспечению своевременной и полной выплаты заработной платы, в том числе в связи с введение новой системы оплаты труда</t>
  </si>
  <si>
    <t>555 00 10</t>
  </si>
  <si>
    <t xml:space="preserve">Расходы на увеличение тарифов по оплате за топливно-энергетические ресурсы </t>
  </si>
  <si>
    <t>556 00 10</t>
  </si>
  <si>
    <t>Федеральный закон от 21 декабря 1996 года
N 159-ФЗ "О дополнительных гарантиях по социальной поддержке детей-сирот и детей, оставшихся без попечения родителей"</t>
  </si>
  <si>
    <t>505 21 00</t>
  </si>
  <si>
    <t>Обеспечение жилыми помещениями детей-сирот,
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</si>
  <si>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505 21 02</t>
  </si>
  <si>
    <t>Программа "Развитие муниципальной службы в Администрации МГО"</t>
  </si>
  <si>
    <t>423 82 00</t>
  </si>
  <si>
    <t>423 82 10</t>
  </si>
  <si>
    <t>Субсидии на финансовое обеспечение муниципального задания на оказание муниципальных услуг (выполнение работ)</t>
  </si>
  <si>
    <t>423 82 70</t>
  </si>
  <si>
    <t>440 02 00</t>
  </si>
  <si>
    <t>441 82 00</t>
  </si>
  <si>
    <t>441 82 10</t>
  </si>
  <si>
    <t>612</t>
  </si>
  <si>
    <t>470 82 00</t>
  </si>
  <si>
    <t>478 82 00</t>
  </si>
  <si>
    <t>478 82 10</t>
  </si>
  <si>
    <t>Выполнение функций казенными  учреждениями</t>
  </si>
  <si>
    <t>440 82 86</t>
  </si>
  <si>
    <t>420 82 00</t>
  </si>
  <si>
    <t>420 82 10</t>
  </si>
  <si>
    <t>420 00 67</t>
  </si>
  <si>
    <t>420 82 67</t>
  </si>
  <si>
    <t>421 82 00</t>
  </si>
  <si>
    <t>421 82 10</t>
  </si>
  <si>
    <t>421 82 59</t>
  </si>
  <si>
    <t>421 82 70</t>
  </si>
  <si>
    <t>421 82 88</t>
  </si>
  <si>
    <t>Мероприятия по проведению оздоровительной кампании детей, за исключением детей, находящихся в трудной жизненной ситуации</t>
  </si>
  <si>
    <t>432 01 00</t>
  </si>
  <si>
    <t>Расходы на организацию отдыха детей в лагерях с дневным пребыванием, в загородных лагерях, проведению походов и культурно-массовых мероприятий для детей</t>
  </si>
  <si>
    <t>432 01 71</t>
  </si>
  <si>
    <t>Поступления от денежных пожертвований, предоставляемых государственными (муниципальными) организациями получателям средств бюджетов городских округов</t>
  </si>
  <si>
    <t>2 03 04099 04 0000 180</t>
  </si>
  <si>
    <t>Прочие безвозмездные поступления от государственных (муниципальных) организаций в бюджеты городских округов</t>
  </si>
  <si>
    <t>2 04 04010 04 0000 180</t>
  </si>
  <si>
    <t>Предоставление негосударственными организациями грантов для получателей средств бюджетов городских округов</t>
  </si>
  <si>
    <t>2 04 04020 04 0000 180</t>
  </si>
  <si>
    <t>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</si>
  <si>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>2 04 04099 04 0000 180</t>
  </si>
  <si>
    <t>Прочие безвозмездные поступления от негосударственных организаций в бюджеты городских округов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</si>
  <si>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</si>
  <si>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</si>
  <si>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2 18 04020 04 0000 180</t>
  </si>
  <si>
    <t>Расходы за счет субвенций местным бюджетам на обеспечение гарантий прав граждан в сфере образования</t>
  </si>
  <si>
    <t>Финансовое обеспечение муниципального задания на оказание муниципальных услуг ( выполнение работ)</t>
  </si>
  <si>
    <t>Расходы за счет субвенции из областного бюджета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 воспитанников</t>
  </si>
  <si>
    <t>Обеспечение деятельности подведомственных казенных учреждений</t>
  </si>
  <si>
    <t>Предоставление субсидий бюджетным  и автономным учреждениям</t>
  </si>
  <si>
    <t xml:space="preserve">Мероприятия по поддержке и развитию культуры, искусства, кинематографии, средств массовой информации и архивного дела
</t>
  </si>
  <si>
    <t>795 00 70</t>
  </si>
  <si>
    <t>Муниципальная целевая программа "Молодежь Миасса на 2012-2016 годы"</t>
  </si>
  <si>
    <t>795 00 71</t>
  </si>
  <si>
    <t xml:space="preserve">Мероприятия в области здравоохранения,
спорта и физической культуры, туризма
</t>
  </si>
  <si>
    <t>Муниципальная целевая программа "Развитие физической культуры и спорта в Миасском городском округе на 2012-2015 годы"</t>
  </si>
  <si>
    <t>Муниципальная целевая программа "Предоставление субсидий работникам бюджетной сферы на предоставление жилья "Эконом класс"</t>
  </si>
  <si>
    <t>795 00 72</t>
  </si>
  <si>
    <t>470 82 30</t>
  </si>
  <si>
    <t>Финансовое обеспечение государственного задания на оказание государственных услуг (выполнение работ)</t>
  </si>
  <si>
    <t>471 82 00</t>
  </si>
  <si>
    <t>471 82 30</t>
  </si>
  <si>
    <t xml:space="preserve">471 82 30 </t>
  </si>
  <si>
    <t>478 82 30</t>
  </si>
  <si>
    <t>Управление по физической культуре, спорту, туризму, молодежной политике Администрации МГО</t>
  </si>
  <si>
    <t>МКУ МГО "Образование"</t>
  </si>
  <si>
    <t>МКУ "Управление культуры" МГО</t>
  </si>
  <si>
    <t>МКУ "Управление здравоохранения" МГО</t>
  </si>
  <si>
    <t>на 2012 год  (тыс. руб.)</t>
  </si>
  <si>
    <t>Управление ЖКХ, энергетики и транспорта Администрации МГО</t>
  </si>
  <si>
    <t xml:space="preserve">НП "Образование" в МГО на 2009-2012гг. </t>
  </si>
  <si>
    <t>Мероприятия по поддержке и развитию культуры, искусства, кинематографии средств массовой информации и архивного дела</t>
  </si>
  <si>
    <t>023</t>
  </si>
  <si>
    <t>795 00 52</t>
  </si>
  <si>
    <t>Программа "Культура. Искусство. Творчество." на 2010-2012гг.</t>
  </si>
  <si>
    <t>795 00 53</t>
  </si>
  <si>
    <t>Проведение детей для детей и молодежи</t>
  </si>
  <si>
    <t>Целевая Программа "Капитальное строительство на территории Миасского городского округа на 2012-2014 годы"</t>
  </si>
  <si>
    <t>ЦП "Капитальное строительство на территории Миасского городского округа на 2012-2014 годы"</t>
  </si>
  <si>
    <t>Обеспечение деятельностиподведомственных казенных учреждений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</si>
  <si>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</si>
  <si>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</si>
  <si>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2 02 02088 04 0001 151</t>
  </si>
  <si>
    <t>Исполнение государственных и муниципальных гарантий городских округов в валюте РФ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</si>
  <si>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01  06  05  00  00  0000  000</t>
  </si>
  <si>
    <t>Бюджетные кредиты, предоставленные внутри  страны в валюте Российской Федерации</t>
  </si>
  <si>
    <t>01  06  05  00  00  0000  600</t>
  </si>
  <si>
    <t>Возврат бюджетных кредитов, предоставленных  внутри страны в валюте Российской Федерации</t>
  </si>
  <si>
    <t>01  06  05  01  04  0000  640</t>
  </si>
  <si>
    <t>Возврат бюджетных кредитов, предоставленных юридическим лицам из бюджетов городских округов в валюте РФ</t>
  </si>
  <si>
    <t>Расходы на проведение ремонтных работ, строительных работ и работ по благоустройству с привлечением студенческих отрядов</t>
  </si>
  <si>
    <t>907</t>
  </si>
  <si>
    <t>Приобретение продуктов питания для детей в организованных органами местного самоуправления лагерях с дневным пребыванием детей и организацией двух-или трехразового питания за счет субсидий из областного бюджета</t>
  </si>
  <si>
    <t>421 99 75</t>
  </si>
  <si>
    <t>Организация отдыха детей в каникулярное время</t>
  </si>
  <si>
    <t>911</t>
  </si>
  <si>
    <t>Обеспечение деятельности школ-детских садов, школ начальных, неполных средних за счет субвенций местным бюджетам на обеспечение гарантий прав граждан в сфере образования</t>
  </si>
  <si>
    <t>421 99 88</t>
  </si>
  <si>
    <t>Учреждения по внешкольной работе с детьми</t>
  </si>
  <si>
    <t xml:space="preserve">423 00 00 </t>
  </si>
  <si>
    <t>423 99 00</t>
  </si>
  <si>
    <t>Ремонт и противопожарные мероприятия в учреждениях физической культуры и спорта муниципальных образований за счет субсидий из областного бюджета</t>
  </si>
  <si>
    <t>Областная целевая программа реализации национального проекта "Доступное и комфортное жилье  - гражданам России" в Челябинской области на 2008-2010гг. за счет субсидии из областного бюджета"</t>
  </si>
  <si>
    <t>Подпрграмма "Предоставление работникам бюджетной сферы социальных выплат на приобретение или строительство жилья"</t>
  </si>
  <si>
    <t xml:space="preserve">Финансовое управление Администрации Миасского городского округа </t>
  </si>
  <si>
    <t>284</t>
  </si>
  <si>
    <t>Управление социальной защиты населения Администрации Миасского городского округа</t>
  </si>
  <si>
    <t>285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</si>
  <si>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(ежеквартальные денежные выплаты на оплату проезда)</t>
  </si>
  <si>
    <t>Расходы за счет субвенции из областного бюджета на обеспечение мер социальной поддержки граждан, имеющих звание "Ветеран труда Челябинской области" (другие меры социальной поддержки граждан, имеющих звание "Ветеран труда Челябинской области"))</t>
  </si>
  <si>
    <t>286</t>
  </si>
  <si>
    <t>Управление внутренних дел по Миасскому городскому округу</t>
  </si>
  <si>
    <t>188</t>
  </si>
  <si>
    <t>288</t>
  </si>
  <si>
    <t>433 99 01</t>
  </si>
  <si>
    <t>Расходы на решение вопросов местного значения в сфере образования</t>
  </si>
  <si>
    <t>Областная целевая программа "Социальная поддержка инвалидов в Челябинской области" на 2007-2010 годы за счет субсидии из областного бюджета</t>
  </si>
  <si>
    <t>522 06 00</t>
  </si>
  <si>
    <t>Областная целевая Программа реализации национального проекта "Образование" в Челябинской области</t>
  </si>
  <si>
    <t>289</t>
  </si>
  <si>
    <t xml:space="preserve">Муниципальная целевая программа "Безопасность учреждений культуры" на 2010-2012 годы </t>
  </si>
  <si>
    <t>290</t>
  </si>
  <si>
    <t xml:space="preserve">522 00 00 </t>
  </si>
  <si>
    <t>455</t>
  </si>
  <si>
    <t>Программа "Профилактика клещевого энцефалита в Миасском городском округе на 2010-2012 г.г."</t>
  </si>
  <si>
    <t>к решению Собрания</t>
  </si>
  <si>
    <t xml:space="preserve">депутатов Миасского </t>
  </si>
  <si>
    <t>городского округа</t>
  </si>
  <si>
    <t>ПО РАЗДЕЛАМ И ПОДРАЗДЕЛАМ, ЦЕЛЕВЫМ СТАТЬЯМ И ВИДАМ</t>
  </si>
  <si>
    <t>РАСХОДОВ КЛАССИФИКАЦИИ РАСХОДОВ БЮДЖЕТА</t>
  </si>
  <si>
    <t>МИАССКОГО ГОРОДСКОГО ОКРУГА</t>
  </si>
  <si>
    <t>Наименование</t>
  </si>
  <si>
    <t>Коды ведомственной классификации</t>
  </si>
  <si>
    <t>Сумма</t>
  </si>
  <si>
    <t>Исполнено</t>
  </si>
  <si>
    <t xml:space="preserve">% </t>
  </si>
  <si>
    <t>ведомство</t>
  </si>
  <si>
    <t>раздел</t>
  </si>
  <si>
    <t>подраздел</t>
  </si>
  <si>
    <t>целевая статья</t>
  </si>
  <si>
    <t>Обеспечение жилыми помещениями дете-сирот,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</si>
  <si>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</si>
  <si>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Расходы за счет субвенции из областного бюджета на обеспечение детей-сирот, детей, оставшихся без попечения родителей, лиц из числа детей, находящихся под опекой (попечительством), жилой площадью</t>
  </si>
  <si>
    <t>505 36 94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</si>
  <si>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</si>
  <si>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</si>
  <si>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</si>
  <si>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</si>
  <si>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</si>
  <si>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>505 48 00</t>
  </si>
  <si>
    <t>Капитальный ремонт государственного жилищного фонда субъектов Российской Федерации и муниципального жилищного фонда</t>
  </si>
  <si>
    <t>Субсидии на проведение отдельных мероприятий по другим видам транспорта</t>
  </si>
  <si>
    <t xml:space="preserve">04 </t>
  </si>
  <si>
    <t>Реализация мер социальной поддержки отдельных категорий граждан</t>
  </si>
  <si>
    <t>505 55 00</t>
  </si>
  <si>
    <t>Расходы за счет субвенций из областного бюджета на государственную поддержку в сфере образования</t>
  </si>
  <si>
    <t>436 01 73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</si>
  <si>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</si>
  <si>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</si>
  <si>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</si>
  <si>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452 99 08</t>
  </si>
  <si>
    <t>452 99 68</t>
  </si>
  <si>
    <t>"Областная целевая программа "Развитие физической культуры и спорта в Челябинской области на 2009-2011 годы" за счет субсидии из областного бюджета</t>
  </si>
  <si>
    <t>522 08 00</t>
  </si>
  <si>
    <t>Областная целевая программа противодействия злоупотреблению наркотическими средствами и психотропными веществами и их незаконному обороту в Челябинской области на 2007-2009 годы за счет субсидий из областного бюджета</t>
  </si>
  <si>
    <t>522 09 00</t>
  </si>
  <si>
    <t>079</t>
  </si>
  <si>
    <t>Областная целевая программа "Дети Южного урала" на 2006-2010 годыза счет субсидий из областного бюджета</t>
  </si>
  <si>
    <t>522 16 00</t>
  </si>
  <si>
    <t>436 01 00</t>
  </si>
  <si>
    <t>Субсидии бюджетам городских округов на обеспечение мероприятий по переселению граждан из аварийного  жилищного фонда с учетом необходимости развития малоэтажного жилищного строительства за счет средств бюджетов</t>
  </si>
  <si>
    <t>2 02 02102 04 0000 151</t>
  </si>
  <si>
    <t>Программа "Безопасность образовательного учреждения МГО на 2010-2012" Ремонт и противопожарные мероприятия в образовательных учреждениях муниципальных образований за счет средств местного бюджета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</si>
  <si>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Челябинской области")</t>
  </si>
  <si>
    <t xml:space="preserve">Закупка для государственных нужд техники,
производимой на территории Российской Федерации
</t>
  </si>
  <si>
    <t>340 07 00</t>
  </si>
  <si>
    <t xml:space="preserve">Закупка автотранспортных средств
и коммунальной техники
</t>
  </si>
  <si>
    <t>340 07 02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</si>
  <si>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</si>
  <si>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</si>
  <si>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</si>
  <si>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1 16 18040 04 0000 140</t>
  </si>
  <si>
    <t xml:space="preserve"> Денежные взыскания (штрафы) за нарушение бюджетного законодательства 
(в части бюджетов городских округов)</t>
  </si>
  <si>
    <t>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</si>
  <si>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</si>
  <si>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1 16 25073 04 0000 140</t>
  </si>
  <si>
    <t xml:space="preserve">Источники 
внутреннего финансирования дефицита бюджета Миасского  городского округа 
на 2012 год   </t>
  </si>
  <si>
    <t>Субвенции бюджетам городских округов на оплату жилищно-коммунальных услуг отдельным категориям граждан</t>
  </si>
  <si>
    <t>2 02 03004 04 0000 151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</si>
  <si>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</si>
  <si>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2 02 03012 04 0000 151</t>
  </si>
  <si>
    <t>Продовольственное обеспечение вне рамок государственного оборонного заказа</t>
  </si>
  <si>
    <t>202 71 02</t>
  </si>
  <si>
    <t>Вещевое обеспечение</t>
  </si>
  <si>
    <t xml:space="preserve">03 </t>
  </si>
  <si>
    <t>202 72 00</t>
  </si>
  <si>
    <t>Вещевое обеспечение вне рамок государственного оборонного заказа</t>
  </si>
  <si>
    <t>202 72 02</t>
  </si>
  <si>
    <t>Компенсация стоимости вещевого имущества</t>
  </si>
  <si>
    <t>202 72 03</t>
  </si>
  <si>
    <t>Пособия и компенсации военнослужащим, приравненным к ним лицам, а так же уволенным из их числа</t>
  </si>
  <si>
    <t>202 76 00</t>
  </si>
  <si>
    <t>Социальные выплаты</t>
  </si>
  <si>
    <t>005</t>
  </si>
  <si>
    <t xml:space="preserve">795 00 00 </t>
  </si>
  <si>
    <t>795 00 64</t>
  </si>
  <si>
    <t>Целевая "Программа энергосбережения и повышения энергетической эффективности бюджетных организаций Миасского городского округа на 2010-2015 годы"</t>
  </si>
  <si>
    <t>795 00 27</t>
  </si>
  <si>
    <t>Реализация НП "Образование" в Челябинской области</t>
  </si>
  <si>
    <t xml:space="preserve">07 </t>
  </si>
  <si>
    <t>Муниципальная целевая программа "противопожарные мероприятия на 2008-2009гг.в УВД по Миасскому городскому округу"</t>
  </si>
  <si>
    <t xml:space="preserve">795 00 63 </t>
  </si>
  <si>
    <t>Защита населения и территории от последствий  чрезвычайных ситуаций природного и техногенного характера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</si>
  <si>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</si>
  <si>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</si>
  <si>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</si>
  <si>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</si>
  <si>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</si>
  <si>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</si>
  <si>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в виде имущественного взноса в Федеральный фонд содействия развитию жилищного строительства</t>
  </si>
  <si>
    <t>Субсидии в виде имущественного взноса в Федеральный фонд содействия развитию жилищного строительства для уплаты земельного налога</t>
  </si>
  <si>
    <t>Содействие развитию жилищного строительства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</si>
  <si>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</si>
  <si>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</si>
  <si>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Целевой финансовый резерв для предупреждения и ликвидации чрезвычайных ситуаций</t>
  </si>
  <si>
    <t>218 01 50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</si>
  <si>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</si>
  <si>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</si>
  <si>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</si>
  <si>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</si>
  <si>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247 00 00</t>
  </si>
  <si>
    <t>247 99 00</t>
  </si>
  <si>
    <t>Региональные целевые программы</t>
  </si>
  <si>
    <t>522 00 00</t>
  </si>
  <si>
    <t>Областная целевая программа "Снижение рисков и смягчение последствий чрезвычайных ситуаций природного и техногенного характера в Челябинской области на 2007-2010гг" за счет субсидий из областного бюджета</t>
  </si>
  <si>
    <t>522 13 00</t>
  </si>
  <si>
    <t xml:space="preserve">Областная целевая программа "Снижение рисков и смягчение последствий чрезвычайных ситуаций природного и техногенного характера в Челябинской области на 2007-2010гг" </t>
  </si>
  <si>
    <t>923</t>
  </si>
  <si>
    <t>Другие вопросы в области национальной безопасности и правоохранительной деятельности</t>
  </si>
  <si>
    <t>ОЦП "Снижение рисков и смягчение последствий чрезвычайных ситуаций природного и техногенного характера в Челябинской области</t>
  </si>
  <si>
    <t>10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</si>
  <si>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</si>
  <si>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</si>
  <si>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</si>
  <si>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</si>
  <si>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>Резервные фонды органов местного самоуправления</t>
  </si>
  <si>
    <t>184</t>
  </si>
  <si>
    <t>Наименование источника средств</t>
  </si>
  <si>
    <t>Сумма,
тыс. руб.</t>
  </si>
  <si>
    <t>Исполнено,
тыс. руб.</t>
  </si>
  <si>
    <t>01  00  00  00  00  0000  000</t>
  </si>
  <si>
    <t>Источники внутреннего финансирования дефицита бюджетов</t>
  </si>
  <si>
    <t>795 00 28</t>
  </si>
  <si>
    <t>Программа "Чистая вода на территории Миасского городского округа на 2010-2020гг."</t>
  </si>
  <si>
    <t>795 00 29</t>
  </si>
  <si>
    <t>Муниципальная целевая программа "Обеспечение безопасности гидротехнических сооружений на территории Миасского городского округа на 2011-2015 годы"</t>
  </si>
  <si>
    <t>338 82 00</t>
  </si>
  <si>
    <t>338 82 10</t>
  </si>
  <si>
    <t>Предоставление субсидий бюджетным и автономным учреждениям</t>
  </si>
  <si>
    <t>Субсидии бюджетным и автономным учреждениям на финансовое обеспечение муниципального задания на оказание муниципальных услуг (выполнение работ)</t>
  </si>
  <si>
    <t>Субсидии бюджетным и автономным учреждениям на финансовое обеспечение государственного задания на оказание государственных услуг (выполнение работ)</t>
  </si>
  <si>
    <t>Расходы за счет субвенций из областного бюджета на содержание учреждений социального обслуживания населения</t>
  </si>
  <si>
    <t>507 99 00</t>
  </si>
  <si>
    <t>Расходы за счет бюджета округа на содержание учреждений социального обслуживания населения</t>
  </si>
  <si>
    <t>507 99 01</t>
  </si>
  <si>
    <t>508 00 00</t>
  </si>
  <si>
    <t>508 99 00</t>
  </si>
  <si>
    <t>Расходы за счет субвенции из областного бюджета на содержание учреждений социального обслуживания населения</t>
  </si>
  <si>
    <t>508 99 80</t>
  </si>
  <si>
    <t>Социальное обеспечение населения</t>
  </si>
  <si>
    <t>Социальная помощь</t>
  </si>
  <si>
    <t>505 00 00</t>
  </si>
  <si>
    <t>Расходы за счет субвенции из областного бюджета на обеспечение мер социальной поддержки граждан, работающих в сельских населенных пунктах и рабочих поселках Челябинской области</t>
  </si>
  <si>
    <t>505 00 53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</si>
  <si>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</si>
  <si>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505  00 54</t>
  </si>
  <si>
    <t>Расходы за счет субвенций из областного бюджета на обеспечение мер социальной поддержки граждан, имеющих звание "Ветеран труда Челябинской области"</t>
  </si>
  <si>
    <t>505 00 60</t>
  </si>
  <si>
    <t>Обеспечение социальных выплат, установленных Уставом Миасского городского округа, решениями Собрания депутатов Миасского городского округа, Законами Челябинской области</t>
  </si>
  <si>
    <t>505 00 81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</si>
  <si>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области", ежемесячная денежная выплата на оплату жилья и коммунальных услуг и единовременная денежная выплата на цели отопления)</t>
  </si>
  <si>
    <t>505 02 11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</si>
  <si>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</si>
  <si>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098 01 01</t>
  </si>
  <si>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</si>
  <si>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098 01 02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</si>
  <si>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</si>
  <si>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</si>
  <si>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</si>
  <si>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Программа "Экология  Миасского городского округа" на 2010-2015гг.</t>
  </si>
  <si>
    <t>Получение кредитов от кредитных организаций в валюте Российской Федерации</t>
  </si>
  <si>
    <t>01  02  00  00  04  0000  710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</si>
  <si>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</t>
  </si>
  <si>
    <t>505 55 30</t>
  </si>
  <si>
    <t>350 03 00</t>
  </si>
  <si>
    <t>Мероприятия в области жилищного хозяйства</t>
  </si>
  <si>
    <t xml:space="preserve">795 00 22 </t>
  </si>
  <si>
    <t>Расходы за счет субвенции на обеспечение мер социальной поддержки ветеранов труда и труженников тыла (Закон Челябинской области "О мерах социальной поддержки ветеранов Челябинской области" (ежемесячная денежная выплата на оплату жилья и коммунальных услуг и единовременная выплата на цели отопления)</t>
  </si>
  <si>
    <t>505 55 25</t>
  </si>
  <si>
    <t>505 55 33</t>
  </si>
  <si>
    <t>505 55 34</t>
  </si>
  <si>
    <t>505 99 72</t>
  </si>
  <si>
    <t>РАСПРЕДЕЛЕНИЕ БЮДЖЕТНЫХ АССИГНОВАНИЙ НА 2012 ГОД</t>
  </si>
  <si>
    <t>НА 2012 ГОД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</si>
  <si>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</si>
  <si>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>1 16 25083 04 0000 140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</si>
  <si>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</si>
  <si>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1 16 35020 04 0000 140</t>
  </si>
  <si>
    <t>Суммы по искам  о  возмещении  вреда, причиненного    окружающей     среде, подлежащие   зачислению   в   бюджеты городских округов</t>
  </si>
  <si>
    <t>2 02 02009 04 0000 151</t>
  </si>
  <si>
    <t>Мероприятия по землестройству и землепользованию</t>
  </si>
  <si>
    <t>406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</si>
  <si>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</si>
  <si>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</si>
  <si>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</si>
  <si>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214</t>
  </si>
  <si>
    <t>Компенсация расходов автотранспортных предприятий, связанных с предоставлением сезонных льгот пенсионерам-садоводам, пенсионерам-огородникам на автомобильном транспорте городских и пригородных (садовых) маршрутов за счет средств областного бюджета</t>
  </si>
  <si>
    <t>303 02 72</t>
  </si>
  <si>
    <t>317 01 00</t>
  </si>
  <si>
    <t>Финансирование расходов на организацию транспортного обслуживания населения  муниципальных образований в части приобретения подвижного состава за счет субсидии из областного бюджета</t>
  </si>
  <si>
    <t>317 01 12</t>
  </si>
  <si>
    <t>Мероприятия в области строительства, 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</si>
  <si>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</si>
  <si>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</si>
  <si>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</si>
  <si>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>Программа "Поддержка и развитие малого предпринимательства  Миасского городского округа на 2009-2011гг."</t>
  </si>
  <si>
    <t>795 00 03</t>
  </si>
  <si>
    <t>795 19 12</t>
  </si>
  <si>
    <t>Жилищно-коммунальное хозяйство</t>
  </si>
  <si>
    <t>Жилищное хозяйство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</si>
  <si>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</si>
  <si>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</si>
  <si>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</si>
  <si>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</si>
  <si>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</si>
  <si>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</si>
  <si>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</si>
  <si>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</si>
  <si>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Субсидии юридическим лицам на капитальный ремонт многоквартирных домов</t>
  </si>
  <si>
    <t>910</t>
  </si>
  <si>
    <t>Обеспечение мероприятий по переселению граждан из аварийного жилищного фонда за счет средств бюджетов</t>
  </si>
  <si>
    <t>098 02 02</t>
  </si>
  <si>
    <r>
      <t xml:space="preserve">Доходы от реализации иного имущества, находящегося в собственности городских округов (за исключением имущества муниципальных </t>
    </r>
    <r>
      <rPr>
        <sz val="10"/>
        <rFont val="Arial"/>
        <family val="2"/>
      </rPr>
      <t>бюджетных и</t>
    </r>
    <r>
      <rPr>
        <sz val="10"/>
        <rFont val="Arial"/>
        <family val="0"/>
      </rPr>
      <t xml:space="preserve">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  </r>
  </si>
  <si>
    <t>1 14 04040 04 0000 420</t>
  </si>
  <si>
    <t>Доходы от продажи нематериальных активов, находящихся в собственности городских округов</t>
  </si>
  <si>
    <t>1 14 06012 04 0000 430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</si>
  <si>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</si>
  <si>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01  03  00  00  04  0000  710</t>
  </si>
  <si>
    <t>01  03  00  00  00  0000  800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</si>
  <si>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</si>
  <si>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01  03  00  00  04  0000  810</t>
  </si>
  <si>
    <t>Комплексная программа профилактики правонарушений и усиления борьбы с преступностью на территории МГО на 2010-2011гг.</t>
  </si>
  <si>
    <t xml:space="preserve">Национальный проект "Доступное и комфортное жилье - гражданам России" на территории МГО </t>
  </si>
  <si>
    <t>Мероприятия по переселению граждан из аварийного жилищного фонда</t>
  </si>
  <si>
    <t>912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</si>
  <si>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</si>
  <si>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098 02 04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</si>
  <si>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</si>
  <si>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</si>
  <si>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</si>
  <si>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</si>
  <si>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</si>
  <si>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>350 02 00</t>
  </si>
  <si>
    <t>Областная целевая программа профилактики правонарушений и усилия борьбы с преступностью в Челябинской области на 2006-2008 годы"</t>
  </si>
  <si>
    <t>522 12 00</t>
  </si>
  <si>
    <t>Областная целевая программа по реализации национального проекта "Доступное и комфортное жилье - гражданам России" в Челябинской обл.</t>
  </si>
  <si>
    <t>522 19 00</t>
  </si>
  <si>
    <t>Подпрограмма "Мероприятия по переселению граждан из жилищного фонда, признанного непригодным для проживания"</t>
  </si>
  <si>
    <t>522 19 13</t>
  </si>
  <si>
    <t>Проведение капитального ремонта многоквартирных домов</t>
  </si>
  <si>
    <t>522 19 16</t>
  </si>
  <si>
    <t xml:space="preserve">ОАП "Капитальный ремонт многоквартирных домов в Челябинской области на 2008-2011 гг. </t>
  </si>
  <si>
    <t>522 21 00</t>
  </si>
  <si>
    <r>
      <t>Министерство строительства, инфраструктуры и дорожного хозяйства Челябинской области</t>
    </r>
    <r>
      <rPr>
        <b/>
        <sz val="14"/>
        <rFont val="Arial"/>
        <family val="2"/>
      </rPr>
      <t xml:space="preserve"> *</t>
    </r>
  </si>
  <si>
    <t>016</t>
  </si>
  <si>
    <r>
      <t xml:space="preserve">Министерство здравоохранения Челябинской области </t>
    </r>
    <r>
      <rPr>
        <b/>
        <sz val="14"/>
        <rFont val="Arial"/>
        <family val="2"/>
      </rPr>
      <t>*</t>
    </r>
  </si>
  <si>
    <t>034</t>
  </si>
  <si>
    <r>
      <t xml:space="preserve">Главное контрольное управление Челябинской области </t>
    </r>
    <r>
      <rPr>
        <b/>
        <sz val="14"/>
        <rFont val="Arial"/>
        <family val="2"/>
      </rPr>
      <t>*</t>
    </r>
  </si>
  <si>
    <t>вид расходов</t>
  </si>
  <si>
    <t>на 9 мес.2010 года                (тыс. руб.)</t>
  </si>
  <si>
    <t>исполнения (%)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</si>
  <si>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</si>
  <si>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</si>
  <si>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</si>
  <si>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</si>
  <si>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</si>
  <si>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</si>
  <si>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</si>
  <si>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</si>
  <si>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</si>
  <si>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</si>
  <si>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</si>
  <si>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</si>
  <si>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</si>
  <si>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 xml:space="preserve"> 01 </t>
  </si>
  <si>
    <t>002 04 00</t>
  </si>
  <si>
    <t>Депутаты представительного органа муниципального образования</t>
  </si>
  <si>
    <t>002 12 00</t>
  </si>
  <si>
    <t>Другие общегосударственные вопросы</t>
  </si>
  <si>
    <t>15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</si>
  <si>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</si>
  <si>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</si>
  <si>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</si>
  <si>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216</t>
  </si>
  <si>
    <t>Образование</t>
  </si>
  <si>
    <t>07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</si>
  <si>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</si>
  <si>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</si>
  <si>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</si>
  <si>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</si>
  <si>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</si>
  <si>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Реализация 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</si>
  <si>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</si>
  <si>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</si>
  <si>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200</t>
  </si>
  <si>
    <t>Национальная экономика</t>
  </si>
  <si>
    <t>04</t>
  </si>
  <si>
    <t>Транспорт</t>
  </si>
  <si>
    <t>08</t>
  </si>
  <si>
    <t>Другие виды транспорта</t>
  </si>
  <si>
    <t>Учреждения культуры и мероприятия в сфере культуры и кинематографии</t>
  </si>
  <si>
    <t>Функционирование Правительства РВ, высших исполнительных органов государственной власти субъектов РФ, местных администраций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</si>
  <si>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</si>
  <si>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002 04 58</t>
  </si>
  <si>
    <t>Расходы на оплату ТЭР, услуг водоснабжения,водоотведения, потребляемых МБУ и эл.энергии, расходов на уличное освещение за счет субсидий из областного  бюджета</t>
  </si>
  <si>
    <t>002 04 68</t>
  </si>
  <si>
    <t xml:space="preserve">Расходы за счет субвенций из областного бюджета на комплектование, учет, использование и хранение архивных документов, отнесенных к государственной собственности Челябинской области </t>
  </si>
  <si>
    <t>002 04 86</t>
  </si>
  <si>
    <t>Целевые программы муниципальных образований</t>
  </si>
  <si>
    <t>795 00 00</t>
  </si>
  <si>
    <t>795 00 10</t>
  </si>
  <si>
    <t>Судебная система</t>
  </si>
  <si>
    <t>05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</si>
</sst>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50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b/>
      <sz val="11"/>
      <name val="Arial Cyr"/>
      <family val="0"/>
    </font>
    <font>
      <sz val="12"/>
      <name val="Arial Cyr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0"/>
      <name val="Arial Cyr"/>
      <family val="2"/>
    </font>
    <font>
      <sz val="11"/>
      <color indexed="8"/>
      <name val="Arial Cyr"/>
      <family val="0"/>
    </font>
    <font>
      <sz val="12"/>
      <name val="Arial"/>
      <family val="2"/>
    </font>
    <font>
      <i/>
      <sz val="10"/>
      <name val="Arial"/>
      <family val="2"/>
    </font>
    <font>
      <i/>
      <sz val="11"/>
      <name val="Arial Cyr"/>
      <family val="2"/>
    </font>
    <font>
      <sz val="8"/>
      <name val="Arial Cyr"/>
      <family val="0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sz val="8"/>
      <color indexed="12"/>
      <name val="Arial"/>
      <family val="0"/>
    </font>
    <font>
      <sz val="8"/>
      <color indexed="10"/>
      <name val="Arial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color indexed="12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37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Fill="1" applyBorder="1" applyAlignment="1">
      <alignment horizontal="center"/>
    </xf>
    <xf numFmtId="49" fontId="5" fillId="0" borderId="14" xfId="0" applyNumberFormat="1" applyFont="1" applyBorder="1" applyAlignment="1">
      <alignment vertical="justify"/>
    </xf>
    <xf numFmtId="0" fontId="5" fillId="0" borderId="15" xfId="0" applyFont="1" applyBorder="1" applyAlignment="1">
      <alignment vertical="justify"/>
    </xf>
    <xf numFmtId="0" fontId="5" fillId="0" borderId="16" xfId="0" applyFont="1" applyBorder="1" applyAlignment="1">
      <alignment vertical="justify"/>
    </xf>
    <xf numFmtId="0" fontId="0" fillId="0" borderId="17" xfId="0" applyFill="1" applyBorder="1" applyAlignment="1">
      <alignment horizontal="center" vertical="justify"/>
    </xf>
    <xf numFmtId="49" fontId="6" fillId="0" borderId="18" xfId="0" applyNumberFormat="1" applyFont="1" applyBorder="1" applyAlignment="1">
      <alignment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4" fillId="0" borderId="21" xfId="0" applyNumberFormat="1" applyFont="1" applyBorder="1" applyAlignment="1">
      <alignment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164" fontId="7" fillId="0" borderId="23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49" fontId="4" fillId="0" borderId="22" xfId="0" applyNumberFormat="1" applyFont="1" applyFill="1" applyBorder="1" applyAlignment="1">
      <alignment horizontal="center"/>
    </xf>
    <xf numFmtId="49" fontId="4" fillId="24" borderId="22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left"/>
    </xf>
    <xf numFmtId="0" fontId="0" fillId="24" borderId="0" xfId="0" applyFill="1" applyAlignment="1">
      <alignment/>
    </xf>
    <xf numFmtId="49" fontId="4" fillId="0" borderId="21" xfId="0" applyNumberFormat="1" applyFont="1" applyBorder="1" applyAlignment="1">
      <alignment/>
    </xf>
    <xf numFmtId="49" fontId="4" fillId="0" borderId="2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4" xfId="0" applyFont="1" applyBorder="1" applyAlignment="1">
      <alignment wrapText="1"/>
    </xf>
    <xf numFmtId="49" fontId="4" fillId="0" borderId="21" xfId="0" applyNumberFormat="1" applyFont="1" applyFill="1" applyBorder="1" applyAlignment="1">
      <alignment/>
    </xf>
    <xf numFmtId="49" fontId="4" fillId="0" borderId="21" xfId="0" applyNumberFormat="1" applyFont="1" applyFill="1" applyBorder="1" applyAlignment="1">
      <alignment horizontal="center"/>
    </xf>
    <xf numFmtId="0" fontId="8" fillId="0" borderId="24" xfId="0" applyFont="1" applyBorder="1" applyAlignment="1">
      <alignment wrapText="1"/>
    </xf>
    <xf numFmtId="0" fontId="0" fillId="0" borderId="0" xfId="0" applyFill="1" applyAlignment="1">
      <alignment/>
    </xf>
    <xf numFmtId="0" fontId="4" fillId="0" borderId="24" xfId="0" applyFont="1" applyFill="1" applyBorder="1" applyAlignment="1">
      <alignment horizontal="left" wrapText="1"/>
    </xf>
    <xf numFmtId="0" fontId="4" fillId="24" borderId="24" xfId="0" applyFont="1" applyFill="1" applyBorder="1" applyAlignment="1">
      <alignment horizontal="left" wrapText="1"/>
    </xf>
    <xf numFmtId="49" fontId="6" fillId="0" borderId="21" xfId="0" applyNumberFormat="1" applyFont="1" applyBorder="1" applyAlignment="1">
      <alignment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3" fontId="9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 vertical="top" wrapText="1"/>
    </xf>
    <xf numFmtId="49" fontId="9" fillId="0" borderId="21" xfId="0" applyNumberFormat="1" applyFont="1" applyBorder="1" applyAlignment="1">
      <alignment horizontal="center" wrapText="1"/>
    </xf>
    <xf numFmtId="49" fontId="9" fillId="0" borderId="22" xfId="0" applyNumberFormat="1" applyFont="1" applyBorder="1" applyAlignment="1">
      <alignment horizontal="center" wrapText="1"/>
    </xf>
    <xf numFmtId="49" fontId="10" fillId="0" borderId="21" xfId="0" applyNumberFormat="1" applyFont="1" applyBorder="1" applyAlignment="1">
      <alignment/>
    </xf>
    <xf numFmtId="164" fontId="7" fillId="0" borderId="23" xfId="0" applyNumberFormat="1" applyFont="1" applyFill="1" applyBorder="1" applyAlignment="1">
      <alignment horizontal="center"/>
    </xf>
    <xf numFmtId="49" fontId="9" fillId="0" borderId="22" xfId="0" applyNumberFormat="1" applyFont="1" applyBorder="1" applyAlignment="1">
      <alignment horizontal="center" vertical="top" wrapText="1"/>
    </xf>
    <xf numFmtId="49" fontId="6" fillId="24" borderId="21" xfId="0" applyNumberFormat="1" applyFont="1" applyFill="1" applyBorder="1" applyAlignment="1">
      <alignment/>
    </xf>
    <xf numFmtId="49" fontId="4" fillId="24" borderId="2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11" fillId="0" borderId="24" xfId="0" applyFont="1" applyBorder="1" applyAlignment="1">
      <alignment wrapText="1"/>
    </xf>
    <xf numFmtId="49" fontId="6" fillId="0" borderId="21" xfId="0" applyNumberFormat="1" applyFont="1" applyFill="1" applyBorder="1" applyAlignment="1">
      <alignment/>
    </xf>
    <xf numFmtId="49" fontId="6" fillId="24" borderId="22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left" wrapText="1"/>
    </xf>
    <xf numFmtId="49" fontId="4" fillId="0" borderId="25" xfId="0" applyNumberFormat="1" applyFont="1" applyBorder="1" applyAlignment="1">
      <alignment/>
    </xf>
    <xf numFmtId="0" fontId="4" fillId="0" borderId="21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wrapText="1"/>
    </xf>
    <xf numFmtId="49" fontId="10" fillId="0" borderId="2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49" fontId="9" fillId="0" borderId="22" xfId="0" applyNumberFormat="1" applyFont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top" wrapText="1"/>
    </xf>
    <xf numFmtId="164" fontId="12" fillId="0" borderId="23" xfId="0" applyNumberFormat="1" applyFont="1" applyFill="1" applyBorder="1" applyAlignment="1">
      <alignment horizontal="center"/>
    </xf>
    <xf numFmtId="0" fontId="9" fillId="0" borderId="24" xfId="0" applyFont="1" applyBorder="1" applyAlignment="1">
      <alignment wrapText="1"/>
    </xf>
    <xf numFmtId="49" fontId="9" fillId="0" borderId="21" xfId="0" applyNumberFormat="1" applyFont="1" applyBorder="1" applyAlignment="1">
      <alignment horizontal="justify" vertical="top" wrapText="1"/>
    </xf>
    <xf numFmtId="49" fontId="13" fillId="0" borderId="21" xfId="0" applyNumberFormat="1" applyFont="1" applyBorder="1" applyAlignment="1">
      <alignment horizontal="justify" vertical="top" wrapText="1"/>
    </xf>
    <xf numFmtId="0" fontId="9" fillId="0" borderId="24" xfId="0" applyFont="1" applyBorder="1" applyAlignment="1">
      <alignment horizontal="left" wrapText="1"/>
    </xf>
    <xf numFmtId="49" fontId="9" fillId="0" borderId="21" xfId="0" applyNumberFormat="1" applyFont="1" applyBorder="1" applyAlignment="1">
      <alignment/>
    </xf>
    <xf numFmtId="49" fontId="9" fillId="0" borderId="2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9" fontId="4" fillId="24" borderId="21" xfId="0" applyNumberFormat="1" applyFont="1" applyFill="1" applyBorder="1" applyAlignment="1">
      <alignment/>
    </xf>
    <xf numFmtId="49" fontId="4" fillId="0" borderId="2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10" fillId="0" borderId="2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164" fontId="10" fillId="0" borderId="23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49" fontId="10" fillId="0" borderId="21" xfId="0" applyNumberFormat="1" applyFont="1" applyBorder="1" applyAlignment="1">
      <alignment/>
    </xf>
    <xf numFmtId="49" fontId="10" fillId="0" borderId="22" xfId="0" applyNumberFormat="1" applyFont="1" applyFill="1" applyBorder="1" applyAlignment="1">
      <alignment horizontal="center"/>
    </xf>
    <xf numFmtId="164" fontId="10" fillId="0" borderId="23" xfId="0" applyNumberFormat="1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49" fontId="6" fillId="0" borderId="21" xfId="0" applyNumberFormat="1" applyFont="1" applyBorder="1" applyAlignment="1">
      <alignment/>
    </xf>
    <xf numFmtId="0" fontId="2" fillId="0" borderId="0" xfId="0" applyFont="1" applyAlignment="1">
      <alignment/>
    </xf>
    <xf numFmtId="165" fontId="7" fillId="0" borderId="23" xfId="0" applyNumberFormat="1" applyFont="1" applyFill="1" applyBorder="1" applyAlignment="1">
      <alignment horizontal="center"/>
    </xf>
    <xf numFmtId="0" fontId="4" fillId="0" borderId="24" xfId="0" applyFont="1" applyBorder="1" applyAlignment="1">
      <alignment wrapText="1"/>
    </xf>
    <xf numFmtId="0" fontId="4" fillId="0" borderId="24" xfId="0" applyNumberFormat="1" applyFont="1" applyBorder="1" applyAlignment="1">
      <alignment horizontal="left" wrapText="1"/>
    </xf>
    <xf numFmtId="49" fontId="14" fillId="24" borderId="21" xfId="0" applyNumberFormat="1" applyFont="1" applyFill="1" applyBorder="1" applyAlignment="1">
      <alignment/>
    </xf>
    <xf numFmtId="0" fontId="14" fillId="24" borderId="0" xfId="0" applyFont="1" applyFill="1" applyAlignment="1">
      <alignment/>
    </xf>
    <xf numFmtId="49" fontId="4" fillId="0" borderId="22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11" fillId="0" borderId="21" xfId="0" applyFont="1" applyFill="1" applyBorder="1" applyAlignment="1">
      <alignment horizontal="left" wrapText="1"/>
    </xf>
    <xf numFmtId="0" fontId="0" fillId="24" borderId="0" xfId="0" applyFont="1" applyFill="1" applyAlignment="1">
      <alignment/>
    </xf>
    <xf numFmtId="49" fontId="10" fillId="0" borderId="21" xfId="0" applyNumberFormat="1" applyFont="1" applyFill="1" applyBorder="1" applyAlignment="1">
      <alignment/>
    </xf>
    <xf numFmtId="49" fontId="4" fillId="0" borderId="2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8" fillId="0" borderId="24" xfId="0" applyFont="1" applyFill="1" applyBorder="1" applyAlignment="1">
      <alignment wrapText="1"/>
    </xf>
    <xf numFmtId="0" fontId="9" fillId="24" borderId="24" xfId="0" applyFont="1" applyFill="1" applyBorder="1" applyAlignment="1">
      <alignment wrapText="1"/>
    </xf>
    <xf numFmtId="49" fontId="4" fillId="0" borderId="21" xfId="0" applyNumberFormat="1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/>
    </xf>
    <xf numFmtId="49" fontId="4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164" fontId="7" fillId="0" borderId="28" xfId="0" applyNumberFormat="1" applyFont="1" applyFill="1" applyBorder="1" applyAlignment="1">
      <alignment horizontal="center"/>
    </xf>
    <xf numFmtId="0" fontId="0" fillId="0" borderId="0" xfId="0" applyAlignment="1">
      <alignment/>
    </xf>
    <xf numFmtId="49" fontId="6" fillId="0" borderId="15" xfId="0" applyNumberFormat="1" applyFont="1" applyBorder="1" applyAlignment="1">
      <alignment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164" fontId="3" fillId="0" borderId="29" xfId="0" applyNumberFormat="1" applyFont="1" applyFill="1" applyBorder="1" applyAlignment="1">
      <alignment horizontal="center"/>
    </xf>
    <xf numFmtId="164" fontId="3" fillId="0" borderId="29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49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/>
    </xf>
    <xf numFmtId="164" fontId="3" fillId="0" borderId="17" xfId="0" applyNumberFormat="1" applyFont="1" applyFill="1" applyBorder="1" applyAlignment="1">
      <alignment horizontal="center"/>
    </xf>
    <xf numFmtId="49" fontId="0" fillId="0" borderId="30" xfId="0" applyNumberFormat="1" applyBorder="1" applyAlignment="1">
      <alignment/>
    </xf>
    <xf numFmtId="49" fontId="0" fillId="0" borderId="30" xfId="0" applyNumberFormat="1" applyBorder="1" applyAlignment="1">
      <alignment horizontal="center"/>
    </xf>
    <xf numFmtId="49" fontId="0" fillId="0" borderId="11" xfId="0" applyNumberFormat="1" applyBorder="1" applyAlignment="1">
      <alignment/>
    </xf>
    <xf numFmtId="164" fontId="7" fillId="0" borderId="13" xfId="0" applyNumberFormat="1" applyFont="1" applyFill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164" fontId="7" fillId="0" borderId="17" xfId="0" applyNumberFormat="1" applyFont="1" applyFill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165" fontId="7" fillId="0" borderId="23" xfId="0" applyNumberFormat="1" applyFont="1" applyFill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165" fontId="7" fillId="0" borderId="20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165" fontId="7" fillId="0" borderId="28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49" fontId="0" fillId="0" borderId="35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64" fontId="7" fillId="0" borderId="37" xfId="0" applyNumberFormat="1" applyFont="1" applyFill="1" applyBorder="1" applyAlignment="1">
      <alignment horizontal="center"/>
    </xf>
    <xf numFmtId="49" fontId="4" fillId="0" borderId="38" xfId="0" applyNumberFormat="1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49" fontId="5" fillId="0" borderId="41" xfId="0" applyNumberFormat="1" applyFont="1" applyBorder="1" applyAlignment="1">
      <alignment vertical="justify"/>
    </xf>
    <xf numFmtId="0" fontId="5" fillId="0" borderId="42" xfId="0" applyFont="1" applyBorder="1" applyAlignment="1">
      <alignment vertical="justify"/>
    </xf>
    <xf numFmtId="0" fontId="5" fillId="0" borderId="43" xfId="0" applyFont="1" applyBorder="1" applyAlignment="1">
      <alignment vertical="justify"/>
    </xf>
    <xf numFmtId="49" fontId="6" fillId="0" borderId="44" xfId="0" applyNumberFormat="1" applyFont="1" applyBorder="1" applyAlignment="1">
      <alignment/>
    </xf>
    <xf numFmtId="0" fontId="4" fillId="0" borderId="44" xfId="0" applyFont="1" applyBorder="1" applyAlignment="1">
      <alignment/>
    </xf>
    <xf numFmtId="164" fontId="3" fillId="0" borderId="45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/>
    </xf>
    <xf numFmtId="164" fontId="3" fillId="0" borderId="23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164" fontId="7" fillId="24" borderId="23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49" fontId="4" fillId="24" borderId="21" xfId="0" applyNumberFormat="1" applyFont="1" applyFill="1" applyBorder="1" applyAlignment="1">
      <alignment horizontal="center"/>
    </xf>
    <xf numFmtId="49" fontId="4" fillId="24" borderId="22" xfId="0" applyNumberFormat="1" applyFont="1" applyFill="1" applyBorder="1" applyAlignment="1">
      <alignment horizontal="center"/>
    </xf>
    <xf numFmtId="49" fontId="4" fillId="24" borderId="21" xfId="0" applyNumberFormat="1" applyFont="1" applyFill="1" applyBorder="1" applyAlignment="1">
      <alignment horizontal="left"/>
    </xf>
    <xf numFmtId="49" fontId="9" fillId="0" borderId="22" xfId="0" applyNumberFormat="1" applyFont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164" fontId="7" fillId="0" borderId="28" xfId="0" applyNumberFormat="1" applyFont="1" applyFill="1" applyBorder="1" applyAlignment="1">
      <alignment horizontal="center"/>
    </xf>
    <xf numFmtId="49" fontId="0" fillId="0" borderId="46" xfId="0" applyNumberFormat="1" applyBorder="1" applyAlignment="1">
      <alignment/>
    </xf>
    <xf numFmtId="49" fontId="0" fillId="0" borderId="46" xfId="0" applyNumberFormat="1" applyBorder="1" applyAlignment="1">
      <alignment horizontal="center"/>
    </xf>
    <xf numFmtId="49" fontId="0" fillId="0" borderId="47" xfId="0" applyNumberFormat="1" applyBorder="1" applyAlignment="1">
      <alignment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4" fontId="0" fillId="24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16" fillId="0" borderId="0" xfId="54" applyNumberFormat="1" applyFont="1" applyAlignment="1">
      <alignment horizontal="left"/>
      <protection/>
    </xf>
    <xf numFmtId="0" fontId="16" fillId="0" borderId="0" xfId="54" applyFont="1">
      <alignment/>
      <protection/>
    </xf>
    <xf numFmtId="0" fontId="0" fillId="0" borderId="0" xfId="0" applyFont="1" applyAlignment="1">
      <alignment horizontal="right"/>
    </xf>
    <xf numFmtId="0" fontId="12" fillId="0" borderId="0" xfId="54" applyFont="1" applyAlignment="1">
      <alignment/>
      <protection/>
    </xf>
    <xf numFmtId="0" fontId="1" fillId="0" borderId="0" xfId="54" applyAlignment="1">
      <alignment/>
      <protection/>
    </xf>
    <xf numFmtId="0" fontId="16" fillId="0" borderId="0" xfId="54" applyFont="1" applyAlignment="1">
      <alignment/>
      <protection/>
    </xf>
    <xf numFmtId="0" fontId="20" fillId="0" borderId="0" xfId="54" applyFont="1" applyAlignment="1">
      <alignment horizontal="center" vertical="center" wrapText="1"/>
      <protection/>
    </xf>
    <xf numFmtId="49" fontId="18" fillId="0" borderId="21" xfId="54" applyNumberFormat="1" applyFont="1" applyBorder="1" applyAlignment="1">
      <alignment horizontal="left" vertical="center" wrapText="1"/>
      <protection/>
    </xf>
    <xf numFmtId="0" fontId="21" fillId="0" borderId="21" xfId="0" applyFont="1" applyBorder="1" applyAlignment="1">
      <alignment vertical="center" wrapText="1"/>
    </xf>
    <xf numFmtId="164" fontId="18" fillId="0" borderId="21" xfId="54" applyNumberFormat="1" applyFont="1" applyBorder="1" applyAlignment="1">
      <alignment vertical="center" wrapText="1"/>
      <protection/>
    </xf>
    <xf numFmtId="0" fontId="18" fillId="0" borderId="0" xfId="54" applyFont="1">
      <alignment/>
      <protection/>
    </xf>
    <xf numFmtId="49" fontId="9" fillId="0" borderId="21" xfId="54" applyNumberFormat="1" applyFont="1" applyBorder="1" applyAlignment="1">
      <alignment horizontal="left" vertical="center" wrapText="1"/>
      <protection/>
    </xf>
    <xf numFmtId="0" fontId="7" fillId="0" borderId="21" xfId="53" applyFont="1" applyBorder="1" applyAlignment="1">
      <alignment vertical="justify"/>
      <protection/>
    </xf>
    <xf numFmtId="164" fontId="22" fillId="0" borderId="21" xfId="54" applyNumberFormat="1" applyFont="1" applyBorder="1" applyAlignment="1">
      <alignment vertical="center" wrapText="1"/>
      <protection/>
    </xf>
    <xf numFmtId="0" fontId="12" fillId="0" borderId="21" xfId="0" applyFont="1" applyFill="1" applyBorder="1" applyAlignment="1">
      <alignment vertical="center" wrapText="1"/>
    </xf>
    <xf numFmtId="164" fontId="9" fillId="0" borderId="21" xfId="54" applyNumberFormat="1" applyFont="1" applyBorder="1" applyAlignment="1">
      <alignment vertical="center" wrapText="1"/>
      <protection/>
    </xf>
    <xf numFmtId="0" fontId="12" fillId="0" borderId="25" xfId="0" applyFont="1" applyFill="1" applyBorder="1" applyAlignment="1">
      <alignment vertical="center" wrapText="1"/>
    </xf>
    <xf numFmtId="0" fontId="12" fillId="0" borderId="25" xfId="0" applyFont="1" applyBorder="1" applyAlignment="1">
      <alignment horizontal="left" vertical="justify" wrapText="1"/>
    </xf>
    <xf numFmtId="0" fontId="12" fillId="0" borderId="25" xfId="0" applyFont="1" applyBorder="1" applyAlignment="1">
      <alignment horizontal="left" vertical="justify" wrapText="1" readingOrder="1"/>
    </xf>
    <xf numFmtId="0" fontId="9" fillId="0" borderId="0" xfId="54" applyFont="1">
      <alignment/>
      <protection/>
    </xf>
    <xf numFmtId="0" fontId="12" fillId="0" borderId="48" xfId="0" applyFont="1" applyBorder="1" applyAlignment="1">
      <alignment horizontal="left" vertical="justify" wrapText="1"/>
    </xf>
    <xf numFmtId="0" fontId="12" fillId="0" borderId="21" xfId="0" applyFont="1" applyBorder="1" applyAlignment="1">
      <alignment vertical="center" wrapText="1"/>
    </xf>
    <xf numFmtId="49" fontId="18" fillId="0" borderId="21" xfId="54" applyNumberFormat="1" applyFont="1" applyBorder="1" applyAlignment="1">
      <alignment horizontal="left" vertical="center"/>
      <protection/>
    </xf>
    <xf numFmtId="49" fontId="21" fillId="0" borderId="21" xfId="0" applyNumberFormat="1" applyFont="1" applyBorder="1" applyAlignment="1">
      <alignment horizontal="left" vertical="justify"/>
    </xf>
    <xf numFmtId="164" fontId="18" fillId="0" borderId="21" xfId="54" applyNumberFormat="1" applyFont="1" applyBorder="1" applyAlignment="1">
      <alignment vertical="center"/>
      <protection/>
    </xf>
    <xf numFmtId="49" fontId="9" fillId="0" borderId="21" xfId="54" applyNumberFormat="1" applyFont="1" applyBorder="1" applyAlignment="1">
      <alignment horizontal="left" vertical="center"/>
      <protection/>
    </xf>
    <xf numFmtId="0" fontId="12" fillId="0" borderId="21" xfId="0" applyFont="1" applyBorder="1" applyAlignment="1">
      <alignment vertical="justify"/>
    </xf>
    <xf numFmtId="164" fontId="9" fillId="0" borderId="21" xfId="54" applyNumberFormat="1" applyFont="1" applyBorder="1" applyAlignment="1">
      <alignment vertical="center"/>
      <protection/>
    </xf>
    <xf numFmtId="0" fontId="12" fillId="0" borderId="21" xfId="0" applyNumberFormat="1" applyFont="1" applyBorder="1" applyAlignment="1">
      <alignment vertical="justify"/>
    </xf>
    <xf numFmtId="0" fontId="12" fillId="0" borderId="21" xfId="0" applyFont="1" applyFill="1" applyBorder="1" applyAlignment="1">
      <alignment vertical="center" wrapText="1"/>
    </xf>
    <xf numFmtId="49" fontId="9" fillId="0" borderId="0" xfId="54" applyNumberFormat="1" applyFont="1" applyAlignment="1">
      <alignment horizontal="left"/>
      <protection/>
    </xf>
    <xf numFmtId="0" fontId="9" fillId="0" borderId="0" xfId="54" applyFont="1" applyAlignment="1">
      <alignment/>
      <protection/>
    </xf>
    <xf numFmtId="49" fontId="4" fillId="0" borderId="21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/>
    </xf>
    <xf numFmtId="0" fontId="23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/>
    </xf>
    <xf numFmtId="0" fontId="23" fillId="0" borderId="0" xfId="0" applyFont="1" applyFill="1" applyAlignment="1">
      <alignment horizontal="righ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0" fillId="0" borderId="21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wrapText="1"/>
    </xf>
    <xf numFmtId="0" fontId="1" fillId="0" borderId="21" xfId="0" applyNumberFormat="1" applyFont="1" applyFill="1" applyBorder="1" applyAlignment="1">
      <alignment vertical="center" wrapText="1"/>
    </xf>
    <xf numFmtId="0" fontId="1" fillId="0" borderId="21" xfId="0" applyNumberFormat="1" applyFont="1" applyFill="1" applyBorder="1" applyAlignment="1">
      <alignment vertical="center" wrapText="1"/>
    </xf>
    <xf numFmtId="49" fontId="23" fillId="0" borderId="21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4" fillId="0" borderId="49" xfId="0" applyFont="1" applyBorder="1" applyAlignment="1">
      <alignment wrapText="1"/>
    </xf>
    <xf numFmtId="0" fontId="6" fillId="0" borderId="50" xfId="0" applyFont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6" fillId="0" borderId="24" xfId="0" applyFont="1" applyBorder="1" applyAlignment="1">
      <alignment wrapText="1"/>
    </xf>
    <xf numFmtId="49" fontId="9" fillId="0" borderId="51" xfId="0" applyNumberFormat="1" applyFont="1" applyBorder="1" applyAlignment="1">
      <alignment horizontal="left" wrapText="1"/>
    </xf>
    <xf numFmtId="0" fontId="4" fillId="0" borderId="24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49" fontId="9" fillId="0" borderId="24" xfId="0" applyNumberFormat="1" applyFont="1" applyBorder="1" applyAlignment="1">
      <alignment horizontal="left" wrapText="1"/>
    </xf>
    <xf numFmtId="0" fontId="4" fillId="24" borderId="24" xfId="0" applyFont="1" applyFill="1" applyBorder="1" applyAlignment="1">
      <alignment wrapText="1"/>
    </xf>
    <xf numFmtId="0" fontId="4" fillId="0" borderId="24" xfId="0" applyFont="1" applyFill="1" applyBorder="1" applyAlignment="1">
      <alignment horizontal="justify" wrapText="1"/>
    </xf>
    <xf numFmtId="0" fontId="10" fillId="0" borderId="24" xfId="0" applyFont="1" applyBorder="1" applyAlignment="1">
      <alignment wrapText="1"/>
    </xf>
    <xf numFmtId="0" fontId="4" fillId="0" borderId="24" xfId="0" applyNumberFormat="1" applyFont="1" applyBorder="1" applyAlignment="1">
      <alignment wrapText="1"/>
    </xf>
    <xf numFmtId="0" fontId="4" fillId="0" borderId="41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0" fillId="0" borderId="41" xfId="0" applyFont="1" applyBorder="1" applyAlignment="1">
      <alignment horizontal="left" wrapText="1"/>
    </xf>
    <xf numFmtId="0" fontId="7" fillId="0" borderId="50" xfId="0" applyFont="1" applyBorder="1" applyAlignment="1">
      <alignment horizontal="left" wrapText="1"/>
    </xf>
    <xf numFmtId="0" fontId="4" fillId="0" borderId="50" xfId="0" applyFont="1" applyBorder="1" applyAlignment="1">
      <alignment horizontal="left" wrapText="1"/>
    </xf>
    <xf numFmtId="0" fontId="4" fillId="0" borderId="41" xfId="0" applyFont="1" applyBorder="1" applyAlignment="1">
      <alignment wrapText="1"/>
    </xf>
    <xf numFmtId="0" fontId="9" fillId="0" borderId="24" xfId="0" applyNumberFormat="1" applyFont="1" applyBorder="1" applyAlignment="1">
      <alignment wrapText="1"/>
    </xf>
    <xf numFmtId="0" fontId="4" fillId="0" borderId="52" xfId="0" applyFont="1" applyBorder="1" applyAlignment="1">
      <alignment wrapText="1"/>
    </xf>
    <xf numFmtId="0" fontId="4" fillId="0" borderId="24" xfId="0" applyFont="1" applyBorder="1" applyAlignment="1">
      <alignment vertical="justify"/>
    </xf>
    <xf numFmtId="0" fontId="4" fillId="0" borderId="24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0" fontId="6" fillId="0" borderId="54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/>
    </xf>
    <xf numFmtId="0" fontId="8" fillId="0" borderId="2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24" borderId="2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49" fontId="9" fillId="0" borderId="24" xfId="0" applyNumberFormat="1" applyFont="1" applyBorder="1" applyAlignment="1">
      <alignment horizontal="left" vertical="center" wrapText="1"/>
    </xf>
    <xf numFmtId="0" fontId="9" fillId="0" borderId="24" xfId="0" applyFont="1" applyFill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4" fillId="24" borderId="24" xfId="0" applyFont="1" applyFill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9" fillId="24" borderId="24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4" fillId="0" borderId="24" xfId="0" applyNumberFormat="1" applyFont="1" applyBorder="1" applyAlignment="1">
      <alignment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49" fontId="4" fillId="0" borderId="21" xfId="0" applyNumberFormat="1" applyFont="1" applyFill="1" applyBorder="1" applyAlignment="1">
      <alignment horizontal="left"/>
    </xf>
    <xf numFmtId="164" fontId="2" fillId="0" borderId="0" xfId="0" applyNumberFormat="1" applyFont="1" applyAlignment="1">
      <alignment/>
    </xf>
    <xf numFmtId="43" fontId="0" fillId="0" borderId="0" xfId="62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62" applyFont="1" applyFill="1" applyAlignment="1">
      <alignment horizontal="center"/>
    </xf>
    <xf numFmtId="43" fontId="0" fillId="0" borderId="0" xfId="0" applyNumberFormat="1" applyFont="1" applyFill="1" applyAlignment="1">
      <alignment horizontal="center"/>
    </xf>
    <xf numFmtId="0" fontId="11" fillId="0" borderId="24" xfId="0" applyFont="1" applyFill="1" applyBorder="1" applyAlignment="1">
      <alignment vertical="center" wrapText="1"/>
    </xf>
    <xf numFmtId="49" fontId="9" fillId="0" borderId="21" xfId="0" applyNumberFormat="1" applyFont="1" applyFill="1" applyBorder="1" applyAlignment="1">
      <alignment horizontal="center" vertical="top" wrapText="1"/>
    </xf>
    <xf numFmtId="49" fontId="9" fillId="0" borderId="21" xfId="0" applyNumberFormat="1" applyFont="1" applyFill="1" applyBorder="1" applyAlignment="1">
      <alignment horizontal="center" wrapText="1"/>
    </xf>
    <xf numFmtId="49" fontId="9" fillId="0" borderId="21" xfId="0" applyNumberFormat="1" applyFont="1" applyFill="1" applyBorder="1" applyAlignment="1">
      <alignment/>
    </xf>
    <xf numFmtId="49" fontId="9" fillId="0" borderId="21" xfId="0" applyNumberFormat="1" applyFont="1" applyFill="1" applyBorder="1" applyAlignment="1">
      <alignment horizontal="justify" vertical="top" wrapText="1"/>
    </xf>
    <xf numFmtId="49" fontId="9" fillId="0" borderId="22" xfId="0" applyNumberFormat="1" applyFont="1" applyFill="1" applyBorder="1" applyAlignment="1">
      <alignment horizontal="center" wrapText="1"/>
    </xf>
    <xf numFmtId="0" fontId="4" fillId="24" borderId="24" xfId="0" applyFont="1" applyFill="1" applyBorder="1" applyAlignment="1">
      <alignment vertical="justify" wrapText="1"/>
    </xf>
    <xf numFmtId="0" fontId="4" fillId="0" borderId="24" xfId="0" applyFont="1" applyBorder="1" applyAlignment="1">
      <alignment horizontal="left" vertical="justify" wrapText="1"/>
    </xf>
    <xf numFmtId="0" fontId="26" fillId="0" borderId="0" xfId="0" applyFont="1" applyFill="1" applyAlignment="1">
      <alignment horizontal="left" vertical="center"/>
    </xf>
    <xf numFmtId="0" fontId="47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49" fontId="48" fillId="0" borderId="21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48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49" fontId="9" fillId="0" borderId="27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49" fontId="27" fillId="0" borderId="0" xfId="54" applyNumberFormat="1" applyFont="1" applyFill="1" applyAlignment="1">
      <alignment horizontal="left"/>
      <protection/>
    </xf>
    <xf numFmtId="0" fontId="1" fillId="0" borderId="43" xfId="0" applyFont="1" applyFill="1" applyBorder="1" applyAlignment="1">
      <alignment horizontal="left" wrapText="1"/>
    </xf>
    <xf numFmtId="0" fontId="1" fillId="25" borderId="21" xfId="0" applyFont="1" applyFill="1" applyBorder="1" applyAlignment="1">
      <alignment vertical="center" wrapText="1"/>
    </xf>
    <xf numFmtId="0" fontId="16" fillId="25" borderId="0" xfId="0" applyFont="1" applyFill="1" applyAlignment="1">
      <alignment vertical="center"/>
    </xf>
    <xf numFmtId="0" fontId="1" fillId="25" borderId="0" xfId="0" applyFont="1" applyFill="1" applyAlignment="1">
      <alignment/>
    </xf>
    <xf numFmtId="0" fontId="48" fillId="0" borderId="21" xfId="0" applyNumberFormat="1" applyFont="1" applyFill="1" applyBorder="1" applyAlignment="1">
      <alignment vertical="center" wrapText="1"/>
    </xf>
    <xf numFmtId="49" fontId="9" fillId="0" borderId="24" xfId="0" applyNumberFormat="1" applyFont="1" applyBorder="1" applyAlignment="1">
      <alignment vertical="center" wrapText="1"/>
    </xf>
    <xf numFmtId="49" fontId="9" fillId="0" borderId="24" xfId="0" applyNumberFormat="1" applyFont="1" applyFill="1" applyBorder="1" applyAlignment="1">
      <alignment vertical="center" wrapText="1"/>
    </xf>
    <xf numFmtId="49" fontId="9" fillId="0" borderId="51" xfId="0" applyNumberFormat="1" applyFont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49" fontId="1" fillId="25" borderId="22" xfId="0" applyNumberFormat="1" applyFont="1" applyFill="1" applyBorder="1" applyAlignment="1">
      <alignment horizontal="center" vertical="center" wrapText="1"/>
    </xf>
    <xf numFmtId="49" fontId="1" fillId="25" borderId="21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49" fontId="4" fillId="24" borderId="22" xfId="0" applyNumberFormat="1" applyFont="1" applyFill="1" applyBorder="1" applyAlignment="1">
      <alignment horizontal="center" vertical="center" wrapText="1"/>
    </xf>
    <xf numFmtId="49" fontId="6" fillId="24" borderId="21" xfId="0" applyNumberFormat="1" applyFont="1" applyFill="1" applyBorder="1" applyAlignment="1">
      <alignment horizontal="left" vertical="center" wrapText="1"/>
    </xf>
    <xf numFmtId="164" fontId="7" fillId="0" borderId="23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24" fillId="0" borderId="0" xfId="0" applyFont="1" applyFill="1" applyAlignment="1">
      <alignment horizontal="left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49" fontId="23" fillId="0" borderId="22" xfId="0" applyNumberFormat="1" applyFont="1" applyFill="1" applyBorder="1" applyAlignment="1">
      <alignment horizontal="left" vertical="center" wrapText="1"/>
    </xf>
    <xf numFmtId="49" fontId="23" fillId="0" borderId="25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21" xfId="54" applyFont="1" applyBorder="1" applyAlignment="1">
      <alignment horizontal="center" vertical="center" wrapText="1"/>
      <protection/>
    </xf>
    <xf numFmtId="0" fontId="17" fillId="0" borderId="0" xfId="54" applyFont="1" applyAlignment="1">
      <alignment horizontal="center" vertical="justify" wrapText="1"/>
      <protection/>
    </xf>
    <xf numFmtId="0" fontId="17" fillId="0" borderId="0" xfId="54" applyFont="1" applyAlignment="1">
      <alignment horizontal="center" vertical="justify"/>
      <protection/>
    </xf>
    <xf numFmtId="0" fontId="18" fillId="0" borderId="26" xfId="54" applyFont="1" applyBorder="1" applyAlignment="1">
      <alignment horizontal="center" vertical="center" wrapText="1"/>
      <protection/>
    </xf>
    <xf numFmtId="0" fontId="18" fillId="0" borderId="42" xfId="54" applyFont="1" applyBorder="1" applyAlignment="1">
      <alignment horizontal="center" vertical="center" wrapText="1"/>
      <protection/>
    </xf>
    <xf numFmtId="0" fontId="18" fillId="0" borderId="18" xfId="54" applyFont="1" applyBorder="1" applyAlignment="1">
      <alignment horizontal="center" vertical="center" wrapText="1"/>
      <protection/>
    </xf>
    <xf numFmtId="49" fontId="19" fillId="0" borderId="21" xfId="54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ники" xfId="53"/>
    <cellStyle name="Обычный_Приложение №1+№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0;%20&#1091;&#1090;&#1086;&#1095;&#1085;&#1077;&#1085;&#1080;&#1102;%202012%20&#1075;&#1086;&#1076;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0;%20&#1091;&#1090;&#1086;&#1095;&#1085;&#1077;&#1085;&#1080;&#1102;%202008%20&#1075;&#1086;&#1076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АД"/>
      <sheetName val="функцион.2012"/>
      <sheetName val="ведомствен.2012"/>
      <sheetName val="Источники 2012"/>
    </sheetNames>
    <sheetDataSet>
      <sheetData sheetId="2">
        <row r="12">
          <cell r="G12">
            <v>19635.6</v>
          </cell>
        </row>
        <row r="16">
          <cell r="G16">
            <v>1615.2</v>
          </cell>
        </row>
        <row r="20">
          <cell r="G20">
            <v>17346.899999999998</v>
          </cell>
        </row>
        <row r="26">
          <cell r="G26">
            <v>673.5</v>
          </cell>
        </row>
        <row r="38">
          <cell r="G38">
            <v>5289.200000000001</v>
          </cell>
        </row>
        <row r="42">
          <cell r="G42">
            <v>3744.2000000000003</v>
          </cell>
        </row>
        <row r="44">
          <cell r="G44">
            <v>1545</v>
          </cell>
        </row>
        <row r="46">
          <cell r="G46">
            <v>82388.6</v>
          </cell>
        </row>
        <row r="49">
          <cell r="G49">
            <v>33502.3</v>
          </cell>
        </row>
        <row r="54">
          <cell r="G54">
            <v>48886.3</v>
          </cell>
        </row>
        <row r="71">
          <cell r="G71">
            <v>197028.90000000002</v>
          </cell>
        </row>
        <row r="83">
          <cell r="G83">
            <v>2000</v>
          </cell>
        </row>
        <row r="95">
          <cell r="G95">
            <v>50</v>
          </cell>
        </row>
        <row r="117">
          <cell r="G117">
            <v>66.1</v>
          </cell>
        </row>
        <row r="138">
          <cell r="G138">
            <v>3054</v>
          </cell>
        </row>
        <row r="157">
          <cell r="G157">
            <v>50403.2</v>
          </cell>
        </row>
        <row r="161">
          <cell r="G161">
            <v>34423</v>
          </cell>
        </row>
        <row r="162">
          <cell r="G162">
            <v>64181.8</v>
          </cell>
        </row>
        <row r="167">
          <cell r="G167">
            <v>1000</v>
          </cell>
        </row>
        <row r="169">
          <cell r="G169">
            <v>22505.2</v>
          </cell>
        </row>
        <row r="179">
          <cell r="G179">
            <v>3180.4</v>
          </cell>
        </row>
        <row r="183">
          <cell r="G183">
            <v>16165.2</v>
          </cell>
        </row>
        <row r="212">
          <cell r="G212">
            <v>75057.90000000001</v>
          </cell>
        </row>
        <row r="216">
          <cell r="G216">
            <v>65353.100000000006</v>
          </cell>
        </row>
        <row r="217">
          <cell r="G217">
            <v>1319.8</v>
          </cell>
        </row>
        <row r="220">
          <cell r="G220">
            <v>89.4</v>
          </cell>
        </row>
        <row r="221">
          <cell r="G221">
            <v>170.1</v>
          </cell>
        </row>
        <row r="223">
          <cell r="G223">
            <v>1056</v>
          </cell>
        </row>
        <row r="228">
          <cell r="G228">
            <v>262</v>
          </cell>
        </row>
        <row r="231">
          <cell r="G231">
            <v>27</v>
          </cell>
        </row>
        <row r="239">
          <cell r="G239">
            <v>411.2</v>
          </cell>
        </row>
        <row r="259">
          <cell r="G259">
            <v>3997.8</v>
          </cell>
        </row>
        <row r="268">
          <cell r="G268">
            <v>2290.8</v>
          </cell>
        </row>
        <row r="270">
          <cell r="G270">
            <v>2.7</v>
          </cell>
        </row>
        <row r="272">
          <cell r="G272">
            <v>63</v>
          </cell>
        </row>
        <row r="274">
          <cell r="G274">
            <v>15</v>
          </cell>
        </row>
        <row r="279">
          <cell r="G279">
            <v>24290.600000000002</v>
          </cell>
        </row>
        <row r="283">
          <cell r="G283">
            <v>6239.7</v>
          </cell>
        </row>
        <row r="290">
          <cell r="G290">
            <v>3862.5</v>
          </cell>
        </row>
        <row r="292">
          <cell r="G292">
            <v>2000</v>
          </cell>
        </row>
        <row r="295">
          <cell r="G295">
            <v>188.5</v>
          </cell>
        </row>
        <row r="298">
          <cell r="G298">
            <v>11999.9</v>
          </cell>
        </row>
        <row r="306">
          <cell r="G306">
            <v>14140.9</v>
          </cell>
        </row>
        <row r="321">
          <cell r="G321">
            <v>680</v>
          </cell>
        </row>
        <row r="324">
          <cell r="G324">
            <v>4235.9</v>
          </cell>
        </row>
        <row r="329">
          <cell r="G329">
            <v>725</v>
          </cell>
        </row>
        <row r="331">
          <cell r="G331">
            <v>2500</v>
          </cell>
        </row>
        <row r="334">
          <cell r="G334">
            <v>1000</v>
          </cell>
        </row>
        <row r="336">
          <cell r="G336">
            <v>5000</v>
          </cell>
        </row>
        <row r="339">
          <cell r="G339">
            <v>20900</v>
          </cell>
        </row>
        <row r="358">
          <cell r="G358">
            <v>355.5</v>
          </cell>
        </row>
        <row r="469">
          <cell r="G469">
            <v>2711</v>
          </cell>
        </row>
        <row r="472">
          <cell r="G472">
            <v>5370</v>
          </cell>
        </row>
        <row r="475">
          <cell r="G475">
            <v>530</v>
          </cell>
        </row>
        <row r="479">
          <cell r="G479">
            <v>6283.5</v>
          </cell>
        </row>
        <row r="482">
          <cell r="G482">
            <v>2670</v>
          </cell>
        </row>
        <row r="484">
          <cell r="G484">
            <v>2980</v>
          </cell>
        </row>
        <row r="485">
          <cell r="G485">
            <v>10982.2</v>
          </cell>
        </row>
        <row r="489">
          <cell r="G489">
            <v>4682.2</v>
          </cell>
        </row>
        <row r="499">
          <cell r="G499">
            <v>4200</v>
          </cell>
        </row>
        <row r="501">
          <cell r="G501">
            <v>2100</v>
          </cell>
        </row>
        <row r="505">
          <cell r="G505">
            <v>17200</v>
          </cell>
        </row>
        <row r="509">
          <cell r="G509">
            <v>14200</v>
          </cell>
        </row>
        <row r="510">
          <cell r="G510">
            <v>3000</v>
          </cell>
        </row>
        <row r="512">
          <cell r="G512">
            <v>3000</v>
          </cell>
        </row>
        <row r="587">
          <cell r="G587">
            <v>6300</v>
          </cell>
        </row>
        <row r="589">
          <cell r="G589">
            <v>23848.8</v>
          </cell>
        </row>
        <row r="593">
          <cell r="G593">
            <v>4766.8</v>
          </cell>
        </row>
        <row r="595">
          <cell r="G595">
            <v>15339.4</v>
          </cell>
        </row>
        <row r="602">
          <cell r="G602">
            <v>3742.6</v>
          </cell>
        </row>
        <row r="618">
          <cell r="G618">
            <v>20066.699999999997</v>
          </cell>
        </row>
        <row r="623">
          <cell r="G623">
            <v>7957.6</v>
          </cell>
        </row>
        <row r="626">
          <cell r="G626">
            <v>160.50000000000003</v>
          </cell>
        </row>
        <row r="630">
          <cell r="G630">
            <v>2.3</v>
          </cell>
        </row>
        <row r="634">
          <cell r="G634">
            <v>128.3</v>
          </cell>
        </row>
        <row r="638">
          <cell r="G638">
            <v>6.9</v>
          </cell>
        </row>
        <row r="642">
          <cell r="G642">
            <v>23</v>
          </cell>
        </row>
        <row r="643">
          <cell r="G643">
            <v>78.2</v>
          </cell>
        </row>
        <row r="647">
          <cell r="G647">
            <v>78.2</v>
          </cell>
        </row>
        <row r="648">
          <cell r="G648">
            <v>2845</v>
          </cell>
        </row>
        <row r="651">
          <cell r="G651">
            <v>2845</v>
          </cell>
        </row>
        <row r="654">
          <cell r="G654">
            <v>6.9</v>
          </cell>
        </row>
        <row r="658">
          <cell r="G658">
            <v>6.9</v>
          </cell>
        </row>
        <row r="659">
          <cell r="G659">
            <v>27.6</v>
          </cell>
        </row>
        <row r="663">
          <cell r="G663">
            <v>27.6</v>
          </cell>
        </row>
        <row r="664">
          <cell r="G664">
            <v>60993.1</v>
          </cell>
        </row>
        <row r="665">
          <cell r="G665">
            <v>5427.9</v>
          </cell>
        </row>
        <row r="668">
          <cell r="G668">
            <v>5427.9</v>
          </cell>
        </row>
        <row r="669">
          <cell r="G669">
            <v>55247.9</v>
          </cell>
        </row>
        <row r="670">
          <cell r="G670">
            <v>4294.5</v>
          </cell>
        </row>
        <row r="672">
          <cell r="G672">
            <v>4294.5</v>
          </cell>
        </row>
        <row r="675">
          <cell r="G675">
            <v>1351.8</v>
          </cell>
        </row>
        <row r="678">
          <cell r="G678">
            <v>349.4</v>
          </cell>
        </row>
        <row r="680">
          <cell r="G680">
            <v>38.5</v>
          </cell>
        </row>
        <row r="682">
          <cell r="G682">
            <v>48963.1</v>
          </cell>
        </row>
        <row r="685">
          <cell r="G685">
            <v>250.6</v>
          </cell>
        </row>
        <row r="689">
          <cell r="G689">
            <v>16.1</v>
          </cell>
        </row>
        <row r="693">
          <cell r="G693">
            <v>301.2</v>
          </cell>
        </row>
        <row r="704">
          <cell r="G704">
            <v>432.2</v>
          </cell>
        </row>
        <row r="707">
          <cell r="G707">
            <v>55.2</v>
          </cell>
        </row>
        <row r="710">
          <cell r="G710">
            <v>287.4</v>
          </cell>
        </row>
        <row r="714">
          <cell r="G714">
            <v>41.4</v>
          </cell>
        </row>
        <row r="719">
          <cell r="G719">
            <v>2678.3</v>
          </cell>
        </row>
        <row r="723">
          <cell r="G723">
            <v>2848.5</v>
          </cell>
        </row>
        <row r="726">
          <cell r="G726">
            <v>370.1</v>
          </cell>
        </row>
        <row r="729">
          <cell r="G729">
            <v>34.5</v>
          </cell>
        </row>
        <row r="733">
          <cell r="G733">
            <v>597.7</v>
          </cell>
        </row>
        <row r="737">
          <cell r="G737">
            <v>66.7</v>
          </cell>
        </row>
        <row r="742">
          <cell r="G742">
            <v>2739.6</v>
          </cell>
        </row>
        <row r="751">
          <cell r="G751">
            <v>1723.3</v>
          </cell>
        </row>
        <row r="753">
          <cell r="G753">
            <v>30524.7</v>
          </cell>
        </row>
        <row r="766">
          <cell r="G766">
            <v>1305.8</v>
          </cell>
        </row>
        <row r="768">
          <cell r="G768">
            <v>385.6</v>
          </cell>
        </row>
        <row r="770">
          <cell r="G770">
            <v>1994.3</v>
          </cell>
        </row>
        <row r="772">
          <cell r="G772">
            <v>10693.4</v>
          </cell>
        </row>
        <row r="774">
          <cell r="G774">
            <v>25101.4</v>
          </cell>
        </row>
        <row r="776">
          <cell r="G776">
            <v>8243.1</v>
          </cell>
        </row>
        <row r="778">
          <cell r="G778">
            <v>99144.5</v>
          </cell>
        </row>
        <row r="780">
          <cell r="G780">
            <v>2954</v>
          </cell>
        </row>
        <row r="782">
          <cell r="G782">
            <v>7446.2</v>
          </cell>
        </row>
        <row r="788">
          <cell r="G788">
            <v>9728.5</v>
          </cell>
        </row>
        <row r="790">
          <cell r="G790">
            <v>5092.6</v>
          </cell>
        </row>
        <row r="793">
          <cell r="G793">
            <v>115.7</v>
          </cell>
        </row>
        <row r="795">
          <cell r="G795">
            <v>131851.3</v>
          </cell>
        </row>
        <row r="797">
          <cell r="G797">
            <v>63916.7</v>
          </cell>
        </row>
        <row r="800">
          <cell r="G800">
            <v>51127</v>
          </cell>
        </row>
        <row r="804">
          <cell r="G804">
            <v>37409</v>
          </cell>
        </row>
        <row r="806">
          <cell r="G806">
            <v>18822.7</v>
          </cell>
        </row>
        <row r="814">
          <cell r="G814">
            <v>168979.3</v>
          </cell>
        </row>
        <row r="816">
          <cell r="G816">
            <v>1756.1</v>
          </cell>
        </row>
        <row r="818">
          <cell r="G818">
            <v>388.7</v>
          </cell>
        </row>
        <row r="822">
          <cell r="G822">
            <v>10290</v>
          </cell>
        </row>
        <row r="825">
          <cell r="G825">
            <v>1640.6</v>
          </cell>
        </row>
        <row r="828">
          <cell r="G828">
            <v>4460</v>
          </cell>
        </row>
        <row r="836">
          <cell r="G836">
            <v>5347.8</v>
          </cell>
        </row>
        <row r="838">
          <cell r="G838">
            <v>663.7</v>
          </cell>
        </row>
        <row r="844">
          <cell r="G844">
            <v>24500</v>
          </cell>
        </row>
        <row r="848">
          <cell r="G848">
            <v>2564.1</v>
          </cell>
        </row>
        <row r="852">
          <cell r="G852">
            <v>4023.2</v>
          </cell>
        </row>
        <row r="856">
          <cell r="G856">
            <v>16483.8</v>
          </cell>
        </row>
        <row r="858">
          <cell r="G858">
            <v>3473.8</v>
          </cell>
        </row>
        <row r="861">
          <cell r="G861">
            <v>2.3</v>
          </cell>
        </row>
        <row r="862">
          <cell r="G862">
            <v>345.8</v>
          </cell>
        </row>
        <row r="863">
          <cell r="G863">
            <v>654.2</v>
          </cell>
        </row>
        <row r="865">
          <cell r="G865">
            <v>30886.4</v>
          </cell>
        </row>
        <row r="868">
          <cell r="G868">
            <v>26361.3</v>
          </cell>
        </row>
        <row r="873">
          <cell r="G873">
            <v>3540</v>
          </cell>
        </row>
        <row r="876">
          <cell r="G876">
            <v>985.1</v>
          </cell>
        </row>
        <row r="877">
          <cell r="G877">
            <v>4900</v>
          </cell>
        </row>
        <row r="892">
          <cell r="G892">
            <v>4900</v>
          </cell>
        </row>
        <row r="893">
          <cell r="G893">
            <v>9500</v>
          </cell>
        </row>
        <row r="911">
          <cell r="G911">
            <v>9500</v>
          </cell>
        </row>
        <row r="932">
          <cell r="G932">
            <v>3000</v>
          </cell>
        </row>
        <row r="934">
          <cell r="G934">
            <v>3500</v>
          </cell>
        </row>
        <row r="935">
          <cell r="G935">
            <v>1000</v>
          </cell>
        </row>
        <row r="939">
          <cell r="G939">
            <v>7027.2</v>
          </cell>
        </row>
        <row r="955">
          <cell r="G955">
            <v>49851.8</v>
          </cell>
        </row>
        <row r="956">
          <cell r="G956">
            <v>46558</v>
          </cell>
        </row>
        <row r="960">
          <cell r="G960">
            <v>46558</v>
          </cell>
        </row>
        <row r="974">
          <cell r="G974">
            <v>1900</v>
          </cell>
        </row>
        <row r="981">
          <cell r="G981">
            <v>1393.8</v>
          </cell>
        </row>
        <row r="993">
          <cell r="G993">
            <v>2970</v>
          </cell>
        </row>
        <row r="997">
          <cell r="G997">
            <v>3599.8</v>
          </cell>
        </row>
        <row r="1031">
          <cell r="G1031">
            <v>1077506.5999999999</v>
          </cell>
        </row>
        <row r="1032">
          <cell r="G1032">
            <v>438703.89999999997</v>
          </cell>
        </row>
        <row r="1036">
          <cell r="G1036">
            <v>382960</v>
          </cell>
        </row>
        <row r="1038">
          <cell r="G1038">
            <v>1846</v>
          </cell>
        </row>
        <row r="1040">
          <cell r="G1040">
            <v>46082.1</v>
          </cell>
        </row>
        <row r="1042">
          <cell r="G1042">
            <v>164.2</v>
          </cell>
        </row>
        <row r="1059">
          <cell r="G1059">
            <v>0.5</v>
          </cell>
        </row>
        <row r="1060">
          <cell r="G1060">
            <v>47.6</v>
          </cell>
        </row>
        <row r="1063">
          <cell r="G1063">
            <v>1173.6</v>
          </cell>
        </row>
        <row r="1064">
          <cell r="G1064">
            <v>5173.4</v>
          </cell>
        </row>
        <row r="1065">
          <cell r="G1065">
            <v>1256.5</v>
          </cell>
        </row>
        <row r="1066">
          <cell r="G1066">
            <v>585199.7</v>
          </cell>
        </row>
        <row r="1072">
          <cell r="G1072">
            <v>513920.6</v>
          </cell>
        </row>
        <row r="1075">
          <cell r="G1075">
            <v>54837.1</v>
          </cell>
        </row>
        <row r="1077">
          <cell r="G1077">
            <v>4384.1</v>
          </cell>
        </row>
        <row r="1079">
          <cell r="G1079">
            <v>341.5</v>
          </cell>
        </row>
        <row r="1081">
          <cell r="G1081">
            <v>174967</v>
          </cell>
        </row>
        <row r="1082">
          <cell r="G1082">
            <v>1627.9</v>
          </cell>
        </row>
        <row r="1084">
          <cell r="G1084">
            <v>61549.9</v>
          </cell>
        </row>
        <row r="1092">
          <cell r="G1092">
            <v>5466.6</v>
          </cell>
        </row>
        <row r="1096">
          <cell r="G1096">
            <v>504.2</v>
          </cell>
        </row>
        <row r="1101">
          <cell r="G1101">
            <v>210242.3</v>
          </cell>
        </row>
        <row r="1106">
          <cell r="G1106">
            <v>30040.5</v>
          </cell>
        </row>
        <row r="1123">
          <cell r="G1123">
            <v>33.2</v>
          </cell>
        </row>
        <row r="1125">
          <cell r="G1125">
            <v>28786.7</v>
          </cell>
        </row>
        <row r="1134">
          <cell r="G1134">
            <v>6989.6</v>
          </cell>
        </row>
        <row r="1135">
          <cell r="G1135">
            <v>5429.1</v>
          </cell>
        </row>
        <row r="1153">
          <cell r="G1153">
            <v>3800</v>
          </cell>
        </row>
        <row r="1162">
          <cell r="G1162">
            <v>4106.7</v>
          </cell>
        </row>
        <row r="1165">
          <cell r="G1165">
            <v>32147.2</v>
          </cell>
        </row>
        <row r="1167">
          <cell r="G1167">
            <v>119.1</v>
          </cell>
        </row>
        <row r="1192">
          <cell r="G1192">
            <v>1630</v>
          </cell>
        </row>
        <row r="1193">
          <cell r="G1193">
            <v>1670</v>
          </cell>
        </row>
        <row r="1195">
          <cell r="G1195">
            <v>3150</v>
          </cell>
        </row>
        <row r="1196">
          <cell r="G1196">
            <v>4350</v>
          </cell>
        </row>
        <row r="1198">
          <cell r="G1198">
            <v>1668.2</v>
          </cell>
        </row>
        <row r="1199">
          <cell r="G1199">
            <v>961.8</v>
          </cell>
        </row>
        <row r="1204">
          <cell r="G1204">
            <v>5044.4</v>
          </cell>
        </row>
        <row r="1209">
          <cell r="G1209">
            <v>13330.1</v>
          </cell>
        </row>
        <row r="1211">
          <cell r="G1211">
            <v>32066.6</v>
          </cell>
        </row>
        <row r="1212">
          <cell r="G1212">
            <v>32066.6</v>
          </cell>
        </row>
        <row r="1216">
          <cell r="G1216">
            <v>32040.1</v>
          </cell>
        </row>
        <row r="1218">
          <cell r="G1218">
            <v>26.5</v>
          </cell>
        </row>
        <row r="1232">
          <cell r="G1232">
            <v>389.5</v>
          </cell>
        </row>
        <row r="1235">
          <cell r="G1235">
            <v>16511.6</v>
          </cell>
        </row>
        <row r="1237">
          <cell r="G1237">
            <v>11108.2</v>
          </cell>
        </row>
        <row r="1241">
          <cell r="G1241">
            <v>3447.7</v>
          </cell>
        </row>
        <row r="1249">
          <cell r="G1249">
            <v>18298.5</v>
          </cell>
        </row>
        <row r="1254">
          <cell r="G1254">
            <v>2082.6</v>
          </cell>
        </row>
        <row r="1265">
          <cell r="G1265">
            <v>5498</v>
          </cell>
        </row>
        <row r="1268">
          <cell r="G1268">
            <v>2510</v>
          </cell>
        </row>
        <row r="1269">
          <cell r="G1269">
            <v>1490</v>
          </cell>
        </row>
        <row r="1271">
          <cell r="G1271">
            <v>2904</v>
          </cell>
        </row>
        <row r="1272">
          <cell r="G1272">
            <v>696</v>
          </cell>
        </row>
        <row r="1290">
          <cell r="G1290">
            <v>8280.5</v>
          </cell>
        </row>
        <row r="1298">
          <cell r="G1298">
            <v>7024.8</v>
          </cell>
        </row>
        <row r="1306">
          <cell r="G1306">
            <v>6804.8</v>
          </cell>
        </row>
        <row r="1310">
          <cell r="G1310">
            <v>2067.6</v>
          </cell>
        </row>
        <row r="1313">
          <cell r="G1313">
            <v>566</v>
          </cell>
        </row>
        <row r="1324">
          <cell r="G1324">
            <v>50578.3</v>
          </cell>
        </row>
        <row r="1328">
          <cell r="G1328">
            <v>9039.3</v>
          </cell>
        </row>
        <row r="1334">
          <cell r="G1334">
            <v>9082.8</v>
          </cell>
        </row>
        <row r="1347">
          <cell r="G1347">
            <v>2500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."/>
      <sheetName val="Ведомств."/>
      <sheetName val="Госполномочия"/>
      <sheetName val="заимст"/>
    </sheetNames>
    <sheetDataSet>
      <sheetData sheetId="1">
        <row r="141">
          <cell r="F141" t="str">
            <v>003</v>
          </cell>
        </row>
        <row r="180">
          <cell r="F180" t="str">
            <v>500</v>
          </cell>
        </row>
        <row r="241">
          <cell r="F241" t="str">
            <v>003</v>
          </cell>
        </row>
        <row r="586">
          <cell r="F586" t="str">
            <v>908</v>
          </cell>
        </row>
        <row r="701">
          <cell r="F701" t="str">
            <v>079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143"/>
  <sheetViews>
    <sheetView showGridLines="0" workbookViewId="0" topLeftCell="A1">
      <pane ySplit="8" topLeftCell="BM142" activePane="bottomLeft" state="frozen"/>
      <selection pane="topLeft" activeCell="A1" sqref="A1"/>
      <selection pane="bottomLeft" activeCell="C4" sqref="C4"/>
    </sheetView>
  </sheetViews>
  <sheetFormatPr defaultColWidth="9.00390625" defaultRowHeight="12.75"/>
  <cols>
    <col min="1" max="1" width="9.75390625" style="256" customWidth="1"/>
    <col min="2" max="2" width="21.125" style="256" customWidth="1"/>
    <col min="3" max="3" width="73.125" style="235" customWidth="1"/>
    <col min="4" max="4" width="32.125" style="321" customWidth="1"/>
    <col min="5" max="16384" width="9.125" style="236" customWidth="1"/>
  </cols>
  <sheetData>
    <row r="1" spans="1:4" s="231" customFormat="1" ht="12.75">
      <c r="A1" s="229"/>
      <c r="B1" s="229"/>
      <c r="C1" s="230" t="s">
        <v>379</v>
      </c>
      <c r="D1" s="321"/>
    </row>
    <row r="2" spans="1:4" s="231" customFormat="1" ht="12.75">
      <c r="A2" s="229"/>
      <c r="B2" s="229"/>
      <c r="C2" s="230" t="s">
        <v>166</v>
      </c>
      <c r="D2" s="321"/>
    </row>
    <row r="3" spans="1:4" s="231" customFormat="1" ht="12.75">
      <c r="A3" s="229"/>
      <c r="B3" s="229"/>
      <c r="C3" s="230" t="s">
        <v>167</v>
      </c>
      <c r="D3" s="321"/>
    </row>
    <row r="4" spans="1:4" s="231" customFormat="1" ht="12.75">
      <c r="A4" s="229"/>
      <c r="B4" s="229"/>
      <c r="C4" s="355" t="s">
        <v>241</v>
      </c>
      <c r="D4" s="354"/>
    </row>
    <row r="5" spans="1:3" ht="49.5" customHeight="1">
      <c r="A5" s="364" t="s">
        <v>179</v>
      </c>
      <c r="B5" s="364"/>
      <c r="C5" s="364"/>
    </row>
    <row r="6" spans="1:3" ht="12.75">
      <c r="A6" s="365"/>
      <c r="B6" s="365"/>
      <c r="C6" s="237"/>
    </row>
    <row r="7" spans="1:3" ht="27" customHeight="1">
      <c r="A7" s="366" t="s">
        <v>168</v>
      </c>
      <c r="B7" s="366"/>
      <c r="C7" s="367" t="s">
        <v>180</v>
      </c>
    </row>
    <row r="8" spans="1:3" ht="54" customHeight="1">
      <c r="A8" s="238" t="s">
        <v>181</v>
      </c>
      <c r="B8" s="238" t="s">
        <v>182</v>
      </c>
      <c r="C8" s="367"/>
    </row>
    <row r="9" spans="1:4" ht="24" customHeight="1">
      <c r="A9" s="359" t="s">
        <v>582</v>
      </c>
      <c r="B9" s="360"/>
      <c r="C9" s="239" t="s">
        <v>583</v>
      </c>
      <c r="D9" s="320"/>
    </row>
    <row r="10" spans="1:4" ht="30" customHeight="1">
      <c r="A10" s="240" t="s">
        <v>582</v>
      </c>
      <c r="B10" s="241" t="s">
        <v>939</v>
      </c>
      <c r="C10" s="243" t="s">
        <v>940</v>
      </c>
      <c r="D10" s="322"/>
    </row>
    <row r="11" spans="1:4" ht="24" customHeight="1">
      <c r="A11" s="359" t="s">
        <v>183</v>
      </c>
      <c r="B11" s="360"/>
      <c r="C11" s="239" t="s">
        <v>184</v>
      </c>
      <c r="D11" s="322"/>
    </row>
    <row r="12" spans="1:3" ht="30.75" customHeight="1">
      <c r="A12" s="240" t="s">
        <v>183</v>
      </c>
      <c r="B12" s="241" t="s">
        <v>185</v>
      </c>
      <c r="C12" s="243" t="s">
        <v>186</v>
      </c>
    </row>
    <row r="13" spans="1:4" ht="35.25" customHeight="1">
      <c r="A13" s="359" t="s">
        <v>187</v>
      </c>
      <c r="B13" s="360"/>
      <c r="C13" s="239" t="s">
        <v>188</v>
      </c>
      <c r="D13" s="322"/>
    </row>
    <row r="14" spans="1:3" ht="24.75" customHeight="1">
      <c r="A14" s="240" t="s">
        <v>187</v>
      </c>
      <c r="B14" s="241" t="s">
        <v>189</v>
      </c>
      <c r="C14" s="242" t="s">
        <v>380</v>
      </c>
    </row>
    <row r="15" spans="1:4" ht="24.75" customHeight="1">
      <c r="A15" s="240" t="s">
        <v>187</v>
      </c>
      <c r="B15" s="241" t="s">
        <v>190</v>
      </c>
      <c r="C15" s="242" t="s">
        <v>381</v>
      </c>
      <c r="D15" s="320"/>
    </row>
    <row r="16" spans="1:3" ht="24" customHeight="1">
      <c r="A16" s="240" t="s">
        <v>187</v>
      </c>
      <c r="B16" s="241" t="s">
        <v>191</v>
      </c>
      <c r="C16" s="244" t="s">
        <v>192</v>
      </c>
    </row>
    <row r="17" spans="1:3" ht="27.75" customHeight="1">
      <c r="A17" s="240" t="s">
        <v>187</v>
      </c>
      <c r="B17" s="241" t="s">
        <v>193</v>
      </c>
      <c r="C17" s="244" t="s">
        <v>194</v>
      </c>
    </row>
    <row r="18" spans="1:3" ht="27.75" customHeight="1">
      <c r="A18" s="240" t="s">
        <v>187</v>
      </c>
      <c r="B18" s="241" t="s">
        <v>1065</v>
      </c>
      <c r="C18" s="242" t="s">
        <v>584</v>
      </c>
    </row>
    <row r="19" spans="1:4" ht="29.25" customHeight="1">
      <c r="A19" s="359" t="s">
        <v>195</v>
      </c>
      <c r="B19" s="360"/>
      <c r="C19" s="239" t="s">
        <v>1131</v>
      </c>
      <c r="D19" s="322"/>
    </row>
    <row r="20" spans="1:3" ht="24" customHeight="1">
      <c r="A20" s="240" t="s">
        <v>195</v>
      </c>
      <c r="B20" s="241" t="s">
        <v>185</v>
      </c>
      <c r="C20" s="243" t="s">
        <v>186</v>
      </c>
    </row>
    <row r="21" spans="1:4" ht="24" customHeight="1">
      <c r="A21" s="359" t="s">
        <v>1132</v>
      </c>
      <c r="B21" s="360"/>
      <c r="C21" s="245" t="s">
        <v>1133</v>
      </c>
      <c r="D21" s="322"/>
    </row>
    <row r="22" spans="1:3" ht="24" customHeight="1">
      <c r="A22" s="240" t="s">
        <v>1132</v>
      </c>
      <c r="B22" s="241" t="s">
        <v>185</v>
      </c>
      <c r="C22" s="243" t="s">
        <v>186</v>
      </c>
    </row>
    <row r="23" spans="1:4" ht="24" customHeight="1">
      <c r="A23" s="359" t="s">
        <v>1134</v>
      </c>
      <c r="B23" s="360"/>
      <c r="C23" s="239" t="s">
        <v>1135</v>
      </c>
      <c r="D23" s="322"/>
    </row>
    <row r="24" spans="1:4" ht="30" customHeight="1">
      <c r="A24" s="240" t="s">
        <v>1134</v>
      </c>
      <c r="B24" s="241" t="s">
        <v>939</v>
      </c>
      <c r="C24" s="243" t="s">
        <v>940</v>
      </c>
      <c r="D24" s="322"/>
    </row>
    <row r="25" spans="1:3" ht="41.25" customHeight="1">
      <c r="A25" s="240" t="s">
        <v>1134</v>
      </c>
      <c r="B25" s="241" t="s">
        <v>941</v>
      </c>
      <c r="C25" s="242" t="s">
        <v>942</v>
      </c>
    </row>
    <row r="26" spans="1:4" ht="29.25" customHeight="1">
      <c r="A26" s="240" t="s">
        <v>1134</v>
      </c>
      <c r="B26" s="241" t="s">
        <v>185</v>
      </c>
      <c r="C26" s="243" t="s">
        <v>186</v>
      </c>
      <c r="D26" s="323"/>
    </row>
    <row r="27" spans="1:4" s="246" customFormat="1" ht="57" customHeight="1">
      <c r="A27" s="357">
        <v>188</v>
      </c>
      <c r="B27" s="358"/>
      <c r="C27" s="234" t="s">
        <v>675</v>
      </c>
      <c r="D27" s="324"/>
    </row>
    <row r="28" spans="1:4" s="340" customFormat="1" ht="29.25" customHeight="1" hidden="1">
      <c r="A28" s="346" t="s">
        <v>870</v>
      </c>
      <c r="B28" s="347" t="s">
        <v>185</v>
      </c>
      <c r="C28" s="338" t="s">
        <v>186</v>
      </c>
      <c r="D28" s="339"/>
    </row>
    <row r="29" spans="1:4" s="246" customFormat="1" ht="24" customHeight="1">
      <c r="A29" s="357">
        <v>283</v>
      </c>
      <c r="B29" s="358"/>
      <c r="C29" s="234" t="s">
        <v>716</v>
      </c>
      <c r="D29" s="325"/>
    </row>
    <row r="30" spans="1:4" ht="42" customHeight="1" hidden="1">
      <c r="A30" s="238">
        <v>283</v>
      </c>
      <c r="B30" s="241" t="s">
        <v>943</v>
      </c>
      <c r="C30" s="243" t="s">
        <v>1062</v>
      </c>
      <c r="D30" s="324" t="s">
        <v>676</v>
      </c>
    </row>
    <row r="31" spans="1:4" ht="42" customHeight="1" hidden="1">
      <c r="A31" s="238">
        <v>283</v>
      </c>
      <c r="B31" s="241" t="s">
        <v>1063</v>
      </c>
      <c r="C31" s="243" t="s">
        <v>1064</v>
      </c>
      <c r="D31" s="324" t="s">
        <v>676</v>
      </c>
    </row>
    <row r="32" spans="1:4" ht="40.5" customHeight="1" hidden="1">
      <c r="A32" s="238">
        <v>283</v>
      </c>
      <c r="B32" s="241" t="s">
        <v>1065</v>
      </c>
      <c r="C32" s="243" t="s">
        <v>1066</v>
      </c>
      <c r="D32" s="324" t="s">
        <v>676</v>
      </c>
    </row>
    <row r="33" spans="1:4" ht="59.25" customHeight="1">
      <c r="A33" s="238">
        <v>283</v>
      </c>
      <c r="B33" s="241" t="s">
        <v>677</v>
      </c>
      <c r="C33" s="243" t="s">
        <v>678</v>
      </c>
      <c r="D33" s="324"/>
    </row>
    <row r="34" spans="1:4" ht="30.75" customHeight="1">
      <c r="A34" s="238">
        <v>283</v>
      </c>
      <c r="B34" s="249" t="s">
        <v>1067</v>
      </c>
      <c r="C34" s="250" t="s">
        <v>475</v>
      </c>
      <c r="D34" s="326"/>
    </row>
    <row r="35" spans="1:4" ht="27.75" customHeight="1">
      <c r="A35" s="238">
        <v>283</v>
      </c>
      <c r="B35" s="249" t="s">
        <v>838</v>
      </c>
      <c r="C35" s="250" t="s">
        <v>839</v>
      </c>
      <c r="D35" s="326"/>
    </row>
    <row r="36" spans="1:4" ht="54.75" customHeight="1">
      <c r="A36" s="238">
        <v>283</v>
      </c>
      <c r="B36" s="241" t="s">
        <v>232</v>
      </c>
      <c r="C36" s="243" t="s">
        <v>382</v>
      </c>
      <c r="D36" s="248"/>
    </row>
    <row r="37" spans="1:4" ht="69" customHeight="1">
      <c r="A37" s="238">
        <v>283</v>
      </c>
      <c r="B37" s="241" t="s">
        <v>233</v>
      </c>
      <c r="C37" s="243" t="s">
        <v>237</v>
      </c>
      <c r="D37" s="248"/>
    </row>
    <row r="38" spans="1:4" ht="44.25" customHeight="1">
      <c r="A38" s="238">
        <v>283</v>
      </c>
      <c r="B38" s="241" t="s">
        <v>238</v>
      </c>
      <c r="C38" s="243" t="s">
        <v>239</v>
      </c>
      <c r="D38" s="248"/>
    </row>
    <row r="39" spans="1:4" ht="44.25" customHeight="1">
      <c r="A39" s="238">
        <v>283</v>
      </c>
      <c r="B39" s="241" t="s">
        <v>240</v>
      </c>
      <c r="C39" s="243" t="s">
        <v>928</v>
      </c>
      <c r="D39" s="248"/>
    </row>
    <row r="40" spans="1:4" ht="27.75" customHeight="1">
      <c r="A40" s="238">
        <v>283</v>
      </c>
      <c r="B40" s="241" t="s">
        <v>476</v>
      </c>
      <c r="C40" s="233" t="s">
        <v>477</v>
      </c>
      <c r="D40" s="326"/>
    </row>
    <row r="41" spans="1:4" ht="40.5" customHeight="1">
      <c r="A41" s="238">
        <v>283</v>
      </c>
      <c r="B41" s="241" t="s">
        <v>478</v>
      </c>
      <c r="C41" s="233" t="s">
        <v>679</v>
      </c>
      <c r="D41" s="326"/>
    </row>
    <row r="42" spans="1:4" s="246" customFormat="1" ht="42" customHeight="1">
      <c r="A42" s="357">
        <v>284</v>
      </c>
      <c r="B42" s="358"/>
      <c r="C42" s="232" t="s">
        <v>169</v>
      </c>
      <c r="D42" s="325"/>
    </row>
    <row r="43" spans="1:3" ht="25.5">
      <c r="A43" s="238">
        <v>284</v>
      </c>
      <c r="B43" s="241" t="s">
        <v>479</v>
      </c>
      <c r="C43" s="233" t="s">
        <v>480</v>
      </c>
    </row>
    <row r="44" spans="1:3" ht="25.5">
      <c r="A44" s="238">
        <v>284</v>
      </c>
      <c r="B44" s="241" t="s">
        <v>481</v>
      </c>
      <c r="C44" s="233" t="s">
        <v>482</v>
      </c>
    </row>
    <row r="45" spans="1:3" ht="24.75" customHeight="1">
      <c r="A45" s="238">
        <v>284</v>
      </c>
      <c r="B45" s="241" t="s">
        <v>483</v>
      </c>
      <c r="C45" s="251" t="s">
        <v>484</v>
      </c>
    </row>
    <row r="46" spans="1:3" ht="30" customHeight="1">
      <c r="A46" s="238">
        <v>284</v>
      </c>
      <c r="B46" s="241" t="s">
        <v>485</v>
      </c>
      <c r="C46" s="233" t="s">
        <v>486</v>
      </c>
    </row>
    <row r="47" spans="1:3" ht="64.5" customHeight="1">
      <c r="A47" s="238">
        <v>284</v>
      </c>
      <c r="B47" s="241" t="s">
        <v>487</v>
      </c>
      <c r="C47" s="233" t="s">
        <v>488</v>
      </c>
    </row>
    <row r="48" spans="1:4" s="246" customFormat="1" ht="30.75" customHeight="1">
      <c r="A48" s="359" t="s">
        <v>865</v>
      </c>
      <c r="B48" s="360"/>
      <c r="C48" s="232" t="s">
        <v>489</v>
      </c>
      <c r="D48" s="325"/>
    </row>
    <row r="49" spans="1:3" ht="27" customHeight="1">
      <c r="A49" s="238">
        <v>285</v>
      </c>
      <c r="B49" s="241" t="s">
        <v>490</v>
      </c>
      <c r="C49" s="233" t="s">
        <v>945</v>
      </c>
    </row>
    <row r="50" spans="1:3" ht="42" customHeight="1">
      <c r="A50" s="238">
        <v>285</v>
      </c>
      <c r="B50" s="241" t="s">
        <v>946</v>
      </c>
      <c r="C50" s="233" t="s">
        <v>947</v>
      </c>
    </row>
    <row r="51" spans="1:3" ht="42.75" customHeight="1">
      <c r="A51" s="238">
        <v>285</v>
      </c>
      <c r="B51" s="241" t="s">
        <v>948</v>
      </c>
      <c r="C51" s="233" t="s">
        <v>396</v>
      </c>
    </row>
    <row r="52" spans="1:3" ht="39.75" customHeight="1">
      <c r="A52" s="238">
        <v>285</v>
      </c>
      <c r="B52" s="241" t="s">
        <v>397</v>
      </c>
      <c r="C52" s="233" t="s">
        <v>398</v>
      </c>
    </row>
    <row r="53" spans="1:3" ht="30.75" customHeight="1">
      <c r="A53" s="238">
        <v>285</v>
      </c>
      <c r="B53" s="241" t="s">
        <v>399</v>
      </c>
      <c r="C53" s="233" t="s">
        <v>400</v>
      </c>
    </row>
    <row r="54" spans="1:4" ht="43.5" customHeight="1">
      <c r="A54" s="238">
        <v>285</v>
      </c>
      <c r="B54" s="241" t="s">
        <v>401</v>
      </c>
      <c r="C54" s="233" t="s">
        <v>402</v>
      </c>
      <c r="D54" s="322"/>
    </row>
    <row r="55" spans="1:3" ht="32.25" customHeight="1">
      <c r="A55" s="357">
        <v>286</v>
      </c>
      <c r="B55" s="358"/>
      <c r="C55" s="245" t="s">
        <v>178</v>
      </c>
    </row>
    <row r="56" spans="1:4" ht="25.5">
      <c r="A56" s="238">
        <v>286</v>
      </c>
      <c r="B56" s="241" t="s">
        <v>403</v>
      </c>
      <c r="C56" s="233" t="s">
        <v>404</v>
      </c>
      <c r="D56" s="326"/>
    </row>
    <row r="57" spans="1:4" ht="41.25" customHeight="1">
      <c r="A57" s="238">
        <v>286</v>
      </c>
      <c r="B57" s="241" t="s">
        <v>405</v>
      </c>
      <c r="C57" s="233" t="s">
        <v>742</v>
      </c>
      <c r="D57" s="326"/>
    </row>
    <row r="58" spans="1:4" ht="28.5" customHeight="1">
      <c r="A58" s="238">
        <v>286</v>
      </c>
      <c r="B58" s="241" t="s">
        <v>743</v>
      </c>
      <c r="C58" s="233" t="s">
        <v>744</v>
      </c>
      <c r="D58" s="326"/>
    </row>
    <row r="59" spans="1:4" ht="54" customHeight="1">
      <c r="A59" s="238">
        <v>286</v>
      </c>
      <c r="B59" s="241" t="s">
        <v>680</v>
      </c>
      <c r="C59" s="252" t="s">
        <v>745</v>
      </c>
      <c r="D59" s="326"/>
    </row>
    <row r="60" spans="1:4" ht="52.5" customHeight="1">
      <c r="A60" s="238">
        <v>286</v>
      </c>
      <c r="B60" s="241" t="s">
        <v>746</v>
      </c>
      <c r="C60" s="252" t="s">
        <v>747</v>
      </c>
      <c r="D60" s="326"/>
    </row>
    <row r="61" spans="1:4" ht="80.25" customHeight="1">
      <c r="A61" s="238">
        <v>286</v>
      </c>
      <c r="B61" s="241" t="s">
        <v>748</v>
      </c>
      <c r="C61" s="253" t="s">
        <v>749</v>
      </c>
      <c r="D61" s="326"/>
    </row>
    <row r="62" spans="1:4" ht="52.5" customHeight="1">
      <c r="A62" s="238">
        <v>286</v>
      </c>
      <c r="B62" s="241" t="s">
        <v>750</v>
      </c>
      <c r="C62" s="253" t="s">
        <v>751</v>
      </c>
      <c r="D62" s="326"/>
    </row>
    <row r="63" spans="1:4" ht="38.25">
      <c r="A63" s="238">
        <v>286</v>
      </c>
      <c r="B63" s="241" t="s">
        <v>752</v>
      </c>
      <c r="C63" s="243" t="s">
        <v>502</v>
      </c>
      <c r="D63" s="326"/>
    </row>
    <row r="64" spans="1:4" ht="51">
      <c r="A64" s="238">
        <v>286</v>
      </c>
      <c r="B64" s="241" t="s">
        <v>503</v>
      </c>
      <c r="C64" s="243" t="s">
        <v>504</v>
      </c>
      <c r="D64" s="326"/>
    </row>
    <row r="65" spans="1:4" ht="54.75" customHeight="1">
      <c r="A65" s="238">
        <v>286</v>
      </c>
      <c r="B65" s="241" t="s">
        <v>505</v>
      </c>
      <c r="C65" s="233" t="s">
        <v>506</v>
      </c>
      <c r="D65" s="326"/>
    </row>
    <row r="66" spans="1:4" ht="21" customHeight="1">
      <c r="A66" s="238">
        <v>286</v>
      </c>
      <c r="B66" s="241" t="s">
        <v>507</v>
      </c>
      <c r="C66" s="233" t="s">
        <v>508</v>
      </c>
      <c r="D66" s="326"/>
    </row>
    <row r="67" spans="1:4" s="329" customFormat="1" ht="63.75">
      <c r="A67" s="238">
        <v>286</v>
      </c>
      <c r="B67" s="241" t="s">
        <v>682</v>
      </c>
      <c r="C67" s="253" t="s">
        <v>242</v>
      </c>
      <c r="D67" s="328"/>
    </row>
    <row r="68" spans="1:4" ht="67.5" customHeight="1">
      <c r="A68" s="238">
        <v>286</v>
      </c>
      <c r="B68" s="241" t="s">
        <v>684</v>
      </c>
      <c r="C68" s="252" t="s">
        <v>1100</v>
      </c>
      <c r="D68" s="326"/>
    </row>
    <row r="69" spans="1:4" ht="27.75" customHeight="1">
      <c r="A69" s="238">
        <v>286</v>
      </c>
      <c r="B69" s="241" t="s">
        <v>1101</v>
      </c>
      <c r="C69" s="233" t="s">
        <v>1102</v>
      </c>
      <c r="D69" s="326"/>
    </row>
    <row r="70" spans="1:4" ht="32.25" customHeight="1">
      <c r="A70" s="238">
        <v>286</v>
      </c>
      <c r="B70" s="241" t="s">
        <v>1103</v>
      </c>
      <c r="C70" s="233" t="s">
        <v>224</v>
      </c>
      <c r="D70" s="326"/>
    </row>
    <row r="71" spans="1:4" ht="42" customHeight="1">
      <c r="A71" s="238">
        <v>286</v>
      </c>
      <c r="B71" s="241" t="s">
        <v>225</v>
      </c>
      <c r="C71" s="233" t="s">
        <v>685</v>
      </c>
      <c r="D71" s="326"/>
    </row>
    <row r="72" spans="1:4" ht="59.25" customHeight="1">
      <c r="A72" s="238">
        <v>286</v>
      </c>
      <c r="B72" s="241" t="s">
        <v>226</v>
      </c>
      <c r="C72" s="243" t="s">
        <v>227</v>
      </c>
      <c r="D72" s="326"/>
    </row>
    <row r="73" spans="1:4" ht="76.5" customHeight="1">
      <c r="A73" s="238">
        <v>286</v>
      </c>
      <c r="B73" s="241" t="s">
        <v>228</v>
      </c>
      <c r="C73" s="243" t="s">
        <v>229</v>
      </c>
      <c r="D73" s="326"/>
    </row>
    <row r="74" spans="1:4" ht="21" customHeight="1">
      <c r="A74" s="238">
        <v>286</v>
      </c>
      <c r="B74" s="249" t="s">
        <v>230</v>
      </c>
      <c r="C74" s="250" t="s">
        <v>231</v>
      </c>
      <c r="D74" s="326"/>
    </row>
    <row r="75" spans="1:4" ht="34.5" customHeight="1">
      <c r="A75" s="238">
        <v>286</v>
      </c>
      <c r="B75" s="249" t="s">
        <v>686</v>
      </c>
      <c r="C75" s="250" t="s">
        <v>687</v>
      </c>
      <c r="D75" s="324"/>
    </row>
    <row r="76" spans="1:4" ht="27.75" customHeight="1">
      <c r="A76" s="238">
        <v>286</v>
      </c>
      <c r="B76" s="249" t="s">
        <v>838</v>
      </c>
      <c r="C76" s="250" t="s">
        <v>839</v>
      </c>
      <c r="D76" s="326"/>
    </row>
    <row r="77" spans="1:4" ht="69" customHeight="1">
      <c r="A77" s="238">
        <v>286</v>
      </c>
      <c r="B77" s="241" t="s">
        <v>232</v>
      </c>
      <c r="C77" s="233" t="s">
        <v>383</v>
      </c>
      <c r="D77" s="326"/>
    </row>
    <row r="78" spans="1:4" ht="69" customHeight="1">
      <c r="A78" s="238">
        <v>286</v>
      </c>
      <c r="B78" s="241" t="s">
        <v>233</v>
      </c>
      <c r="C78" s="243" t="s">
        <v>237</v>
      </c>
      <c r="D78" s="326"/>
    </row>
    <row r="79" spans="1:4" ht="44.25" customHeight="1">
      <c r="A79" s="238">
        <v>286</v>
      </c>
      <c r="B79" s="241" t="s">
        <v>238</v>
      </c>
      <c r="C79" s="243" t="s">
        <v>239</v>
      </c>
      <c r="D79" s="326"/>
    </row>
    <row r="80" spans="1:4" ht="44.25" customHeight="1">
      <c r="A80" s="238">
        <v>286</v>
      </c>
      <c r="B80" s="241" t="s">
        <v>240</v>
      </c>
      <c r="C80" s="243" t="s">
        <v>928</v>
      </c>
      <c r="D80" s="326"/>
    </row>
    <row r="81" spans="1:4" ht="37.5" customHeight="1">
      <c r="A81" s="238">
        <v>286</v>
      </c>
      <c r="B81" s="249" t="s">
        <v>929</v>
      </c>
      <c r="C81" s="233" t="s">
        <v>406</v>
      </c>
      <c r="D81" s="326"/>
    </row>
    <row r="82" spans="1:4" ht="52.5" customHeight="1">
      <c r="A82" s="238">
        <v>286</v>
      </c>
      <c r="B82" s="241" t="s">
        <v>407</v>
      </c>
      <c r="C82" s="233" t="s">
        <v>1104</v>
      </c>
      <c r="D82" s="326"/>
    </row>
    <row r="83" spans="1:4" ht="41.25" customHeight="1">
      <c r="A83" s="238">
        <v>286</v>
      </c>
      <c r="B83" s="241" t="s">
        <v>688</v>
      </c>
      <c r="C83" s="243" t="s">
        <v>0</v>
      </c>
      <c r="D83" s="248"/>
    </row>
    <row r="84" spans="1:4" ht="35.25" customHeight="1">
      <c r="A84" s="357">
        <v>287</v>
      </c>
      <c r="B84" s="358"/>
      <c r="C84" s="245" t="s">
        <v>1</v>
      </c>
      <c r="D84" s="330"/>
    </row>
    <row r="85" spans="1:4" s="246" customFormat="1" ht="31.5" customHeight="1">
      <c r="A85" s="357">
        <v>288</v>
      </c>
      <c r="B85" s="358"/>
      <c r="C85" s="245" t="s">
        <v>2</v>
      </c>
      <c r="D85" s="325"/>
    </row>
    <row r="86" spans="1:4" s="246" customFormat="1" ht="51.75" customHeight="1">
      <c r="A86" s="238">
        <v>288</v>
      </c>
      <c r="B86" s="241" t="s">
        <v>3</v>
      </c>
      <c r="C86" s="243" t="s">
        <v>4</v>
      </c>
      <c r="D86" s="324"/>
    </row>
    <row r="87" spans="1:3" ht="29.25" customHeight="1">
      <c r="A87" s="238">
        <v>288</v>
      </c>
      <c r="B87" s="241" t="s">
        <v>234</v>
      </c>
      <c r="C87" s="233" t="s">
        <v>235</v>
      </c>
    </row>
    <row r="88" spans="1:3" ht="53.25" customHeight="1">
      <c r="A88" s="238">
        <v>288</v>
      </c>
      <c r="B88" s="241" t="s">
        <v>236</v>
      </c>
      <c r="C88" s="233" t="s">
        <v>246</v>
      </c>
    </row>
    <row r="89" spans="1:4" s="246" customFormat="1" ht="33" customHeight="1">
      <c r="A89" s="357">
        <v>289</v>
      </c>
      <c r="B89" s="358"/>
      <c r="C89" s="234" t="s">
        <v>5</v>
      </c>
      <c r="D89" s="321"/>
    </row>
    <row r="90" spans="1:4" ht="28.5" customHeight="1">
      <c r="A90" s="238">
        <v>289</v>
      </c>
      <c r="B90" s="248" t="s">
        <v>247</v>
      </c>
      <c r="C90" s="233" t="s">
        <v>248</v>
      </c>
      <c r="D90" s="322"/>
    </row>
    <row r="91" spans="1:4" s="246" customFormat="1" ht="30.75" customHeight="1">
      <c r="A91" s="359" t="s">
        <v>879</v>
      </c>
      <c r="B91" s="360"/>
      <c r="C91" s="234" t="s">
        <v>6</v>
      </c>
      <c r="D91" s="322"/>
    </row>
    <row r="92" spans="1:3" ht="41.25" customHeight="1">
      <c r="A92" s="238">
        <v>290</v>
      </c>
      <c r="B92" s="241" t="s">
        <v>249</v>
      </c>
      <c r="C92" s="233" t="s">
        <v>250</v>
      </c>
    </row>
    <row r="93" spans="1:4" ht="59.25" customHeight="1">
      <c r="A93" s="238">
        <v>290</v>
      </c>
      <c r="B93" s="241" t="s">
        <v>7</v>
      </c>
      <c r="C93" s="233" t="s">
        <v>8</v>
      </c>
      <c r="D93" s="324"/>
    </row>
    <row r="94" spans="1:4" s="246" customFormat="1" ht="20.25" customHeight="1">
      <c r="A94" s="357">
        <v>291</v>
      </c>
      <c r="B94" s="358"/>
      <c r="C94" s="234" t="s">
        <v>251</v>
      </c>
      <c r="D94" s="325"/>
    </row>
    <row r="95" spans="1:4" s="246" customFormat="1" ht="23.25" customHeight="1">
      <c r="A95" s="357">
        <v>292</v>
      </c>
      <c r="B95" s="358"/>
      <c r="C95" s="232" t="s">
        <v>252</v>
      </c>
      <c r="D95" s="325"/>
    </row>
    <row r="96" spans="1:4" s="246" customFormat="1" ht="30" customHeight="1">
      <c r="A96" s="357">
        <v>293</v>
      </c>
      <c r="B96" s="358"/>
      <c r="C96" s="239" t="s">
        <v>9</v>
      </c>
      <c r="D96" s="337"/>
    </row>
    <row r="97" spans="1:4" ht="63.75">
      <c r="A97" s="238">
        <v>293</v>
      </c>
      <c r="B97" s="241" t="s">
        <v>253</v>
      </c>
      <c r="C97" s="233" t="s">
        <v>254</v>
      </c>
      <c r="D97" s="326"/>
    </row>
    <row r="98" spans="1:4" ht="43.5" customHeight="1">
      <c r="A98" s="238">
        <v>293</v>
      </c>
      <c r="B98" s="249" t="s">
        <v>10</v>
      </c>
      <c r="C98" s="233" t="s">
        <v>11</v>
      </c>
      <c r="D98" s="331"/>
    </row>
    <row r="99" spans="1:4" ht="27.75" customHeight="1">
      <c r="A99" s="238">
        <v>293</v>
      </c>
      <c r="B99" s="249" t="s">
        <v>838</v>
      </c>
      <c r="C99" s="250" t="s">
        <v>839</v>
      </c>
      <c r="D99" s="326"/>
    </row>
    <row r="100" spans="1:4" ht="64.5" customHeight="1">
      <c r="A100" s="238">
        <v>293</v>
      </c>
      <c r="B100" s="241" t="s">
        <v>840</v>
      </c>
      <c r="C100" s="233" t="s">
        <v>384</v>
      </c>
      <c r="D100" s="326"/>
    </row>
    <row r="101" spans="1:4" ht="32.25" customHeight="1">
      <c r="A101" s="238">
        <v>293</v>
      </c>
      <c r="B101" s="241" t="s">
        <v>408</v>
      </c>
      <c r="C101" s="243" t="s">
        <v>409</v>
      </c>
      <c r="D101" s="326"/>
    </row>
    <row r="102" spans="1:3" ht="51">
      <c r="A102" s="362"/>
      <c r="B102" s="363"/>
      <c r="C102" s="254" t="s">
        <v>410</v>
      </c>
    </row>
    <row r="103" spans="1:3" ht="51">
      <c r="A103" s="238"/>
      <c r="B103" s="241" t="s">
        <v>750</v>
      </c>
      <c r="C103" s="253" t="s">
        <v>751</v>
      </c>
    </row>
    <row r="104" spans="1:3" ht="25.5">
      <c r="A104" s="247"/>
      <c r="B104" s="241" t="s">
        <v>411</v>
      </c>
      <c r="C104" s="255" t="s">
        <v>412</v>
      </c>
    </row>
    <row r="105" spans="1:3" ht="38.25">
      <c r="A105" s="247"/>
      <c r="B105" s="241" t="s">
        <v>12</v>
      </c>
      <c r="C105" s="255" t="s">
        <v>13</v>
      </c>
    </row>
    <row r="106" spans="1:3" ht="25.5">
      <c r="A106" s="247"/>
      <c r="B106" s="241" t="s">
        <v>14</v>
      </c>
      <c r="C106" s="255" t="s">
        <v>15</v>
      </c>
    </row>
    <row r="107" spans="1:4" ht="38.25">
      <c r="A107" s="247"/>
      <c r="B107" s="241" t="s">
        <v>16</v>
      </c>
      <c r="C107" s="255" t="s">
        <v>17</v>
      </c>
      <c r="D107" s="332"/>
    </row>
    <row r="108" spans="1:3" ht="25.5">
      <c r="A108" s="247"/>
      <c r="B108" s="241" t="s">
        <v>18</v>
      </c>
      <c r="C108" s="255" t="s">
        <v>19</v>
      </c>
    </row>
    <row r="109" spans="1:3" ht="23.25" customHeight="1">
      <c r="A109" s="247"/>
      <c r="B109" s="241" t="s">
        <v>20</v>
      </c>
      <c r="C109" s="233" t="s">
        <v>217</v>
      </c>
    </row>
    <row r="110" spans="1:3" ht="52.5" customHeight="1">
      <c r="A110" s="247"/>
      <c r="B110" s="327" t="s">
        <v>681</v>
      </c>
      <c r="C110" s="341" t="s">
        <v>520</v>
      </c>
    </row>
    <row r="111" spans="1:3" ht="60" customHeight="1">
      <c r="A111" s="247"/>
      <c r="B111" s="327" t="s">
        <v>683</v>
      </c>
      <c r="C111" s="341" t="s">
        <v>243</v>
      </c>
    </row>
    <row r="112" spans="1:3" ht="40.5" customHeight="1">
      <c r="A112" s="238"/>
      <c r="B112" s="241" t="s">
        <v>413</v>
      </c>
      <c r="C112" s="233" t="s">
        <v>414</v>
      </c>
    </row>
    <row r="113" spans="1:3" ht="42.75" customHeight="1">
      <c r="A113" s="238"/>
      <c r="B113" s="241" t="s">
        <v>415</v>
      </c>
      <c r="C113" s="233" t="s">
        <v>416</v>
      </c>
    </row>
    <row r="114" spans="1:3" ht="33.75" customHeight="1">
      <c r="A114" s="247"/>
      <c r="B114" s="241" t="s">
        <v>1101</v>
      </c>
      <c r="C114" s="233" t="s">
        <v>1102</v>
      </c>
    </row>
    <row r="115" spans="1:3" ht="28.5" customHeight="1">
      <c r="A115" s="238"/>
      <c r="B115" s="241" t="s">
        <v>417</v>
      </c>
      <c r="C115" s="233" t="s">
        <v>385</v>
      </c>
    </row>
    <row r="116" spans="1:3" ht="29.25" customHeight="1">
      <c r="A116" s="238"/>
      <c r="B116" s="241" t="s">
        <v>21</v>
      </c>
      <c r="C116" s="233" t="s">
        <v>22</v>
      </c>
    </row>
    <row r="117" spans="1:3" ht="64.5" customHeight="1">
      <c r="A117" s="247"/>
      <c r="B117" s="241" t="s">
        <v>23</v>
      </c>
      <c r="C117" s="233" t="s">
        <v>24</v>
      </c>
    </row>
    <row r="118" spans="1:3" ht="38.25">
      <c r="A118" s="247"/>
      <c r="B118" s="241" t="s">
        <v>25</v>
      </c>
      <c r="C118" s="233" t="s">
        <v>26</v>
      </c>
    </row>
    <row r="119" spans="1:3" ht="38.25">
      <c r="A119" s="247"/>
      <c r="B119" s="241" t="s">
        <v>418</v>
      </c>
      <c r="C119" s="243" t="s">
        <v>419</v>
      </c>
    </row>
    <row r="120" spans="1:3" ht="25.5">
      <c r="A120" s="247"/>
      <c r="B120" s="241" t="s">
        <v>185</v>
      </c>
      <c r="C120" s="243" t="s">
        <v>186</v>
      </c>
    </row>
    <row r="121" spans="1:3" ht="23.25" customHeight="1">
      <c r="A121" s="247"/>
      <c r="B121" s="241" t="s">
        <v>420</v>
      </c>
      <c r="C121" s="233" t="s">
        <v>421</v>
      </c>
    </row>
    <row r="122" spans="1:3" ht="48.75" customHeight="1">
      <c r="A122" s="247"/>
      <c r="B122" s="241" t="s">
        <v>27</v>
      </c>
      <c r="C122" s="233" t="s">
        <v>386</v>
      </c>
    </row>
    <row r="123" spans="1:3" ht="23.25" customHeight="1">
      <c r="A123" s="247"/>
      <c r="B123" s="241" t="s">
        <v>422</v>
      </c>
      <c r="C123" s="233" t="s">
        <v>423</v>
      </c>
    </row>
    <row r="124" spans="1:3" ht="23.25" customHeight="1">
      <c r="A124" s="247"/>
      <c r="B124" s="241" t="s">
        <v>28</v>
      </c>
      <c r="C124" s="233" t="s">
        <v>117</v>
      </c>
    </row>
    <row r="125" spans="1:4" ht="33.75" customHeight="1">
      <c r="A125" s="247"/>
      <c r="B125" s="249" t="s">
        <v>686</v>
      </c>
      <c r="C125" s="250" t="s">
        <v>687</v>
      </c>
      <c r="D125" s="231"/>
    </row>
    <row r="126" spans="1:4" ht="39" customHeight="1">
      <c r="A126" s="238"/>
      <c r="B126" s="249" t="s">
        <v>424</v>
      </c>
      <c r="C126" s="233" t="s">
        <v>425</v>
      </c>
      <c r="D126" s="322"/>
    </row>
    <row r="127" spans="1:3" ht="23.25" customHeight="1">
      <c r="A127" s="247"/>
      <c r="B127" s="241" t="s">
        <v>426</v>
      </c>
      <c r="C127" s="233" t="s">
        <v>427</v>
      </c>
    </row>
    <row r="128" spans="1:3" ht="31.5" customHeight="1">
      <c r="A128" s="247"/>
      <c r="B128" s="241" t="s">
        <v>428</v>
      </c>
      <c r="C128" s="233" t="s">
        <v>429</v>
      </c>
    </row>
    <row r="129" spans="1:3" ht="23.25" customHeight="1">
      <c r="A129" s="247"/>
      <c r="B129" s="241" t="s">
        <v>430</v>
      </c>
      <c r="C129" s="233" t="s">
        <v>431</v>
      </c>
    </row>
    <row r="130" spans="1:3" ht="23.25" customHeight="1">
      <c r="A130" s="247"/>
      <c r="B130" s="241" t="s">
        <v>432</v>
      </c>
      <c r="C130" s="233" t="s">
        <v>433</v>
      </c>
    </row>
    <row r="131" spans="1:3" ht="32.25" customHeight="1">
      <c r="A131" s="247"/>
      <c r="B131" s="241" t="s">
        <v>29</v>
      </c>
      <c r="C131" s="233" t="s">
        <v>30</v>
      </c>
    </row>
    <row r="132" spans="1:3" ht="42" customHeight="1">
      <c r="A132" s="247"/>
      <c r="B132" s="241" t="s">
        <v>31</v>
      </c>
      <c r="C132" s="233" t="s">
        <v>791</v>
      </c>
    </row>
    <row r="133" spans="1:3" ht="42" customHeight="1">
      <c r="A133" s="247"/>
      <c r="B133" s="241" t="s">
        <v>792</v>
      </c>
      <c r="C133" s="233" t="s">
        <v>793</v>
      </c>
    </row>
    <row r="134" spans="1:3" ht="42" customHeight="1">
      <c r="A134" s="247"/>
      <c r="B134" s="241" t="s">
        <v>794</v>
      </c>
      <c r="C134" s="233" t="s">
        <v>795</v>
      </c>
    </row>
    <row r="135" spans="1:3" ht="42" customHeight="1">
      <c r="A135" s="247"/>
      <c r="B135" s="241" t="s">
        <v>796</v>
      </c>
      <c r="C135" s="233" t="s">
        <v>797</v>
      </c>
    </row>
    <row r="136" spans="1:3" ht="42" customHeight="1">
      <c r="A136" s="247"/>
      <c r="B136" s="241" t="s">
        <v>798</v>
      </c>
      <c r="C136" s="233" t="s">
        <v>799</v>
      </c>
    </row>
    <row r="137" spans="1:3" ht="23.25" customHeight="1">
      <c r="A137" s="247"/>
      <c r="B137" s="241" t="s">
        <v>434</v>
      </c>
      <c r="C137" s="233" t="s">
        <v>435</v>
      </c>
    </row>
    <row r="138" spans="1:4" ht="28.5" customHeight="1">
      <c r="A138" s="247"/>
      <c r="B138" s="241" t="s">
        <v>800</v>
      </c>
      <c r="C138" s="243" t="s">
        <v>801</v>
      </c>
      <c r="D138" s="236"/>
    </row>
    <row r="139" spans="1:4" ht="28.5" customHeight="1">
      <c r="A139" s="247"/>
      <c r="B139" s="241" t="s">
        <v>802</v>
      </c>
      <c r="C139" s="243" t="s">
        <v>516</v>
      </c>
      <c r="D139" s="236"/>
    </row>
    <row r="140" spans="1:4" ht="28.5" customHeight="1">
      <c r="A140" s="247"/>
      <c r="B140" s="241" t="s">
        <v>517</v>
      </c>
      <c r="C140" s="243" t="s">
        <v>518</v>
      </c>
      <c r="D140" s="236"/>
    </row>
    <row r="141" spans="1:4" ht="31.5" customHeight="1">
      <c r="A141" s="247"/>
      <c r="B141" s="241" t="s">
        <v>519</v>
      </c>
      <c r="C141" s="243" t="s">
        <v>606</v>
      </c>
      <c r="D141" s="236"/>
    </row>
    <row r="142" spans="1:3" ht="93" customHeight="1">
      <c r="A142" s="361" t="s">
        <v>387</v>
      </c>
      <c r="B142" s="361"/>
      <c r="C142" s="361"/>
    </row>
    <row r="143" spans="1:3" ht="81.75" customHeight="1">
      <c r="A143" s="356"/>
      <c r="B143" s="356"/>
      <c r="C143" s="356"/>
    </row>
  </sheetData>
  <mergeCells count="25">
    <mergeCell ref="A5:C5"/>
    <mergeCell ref="A6:B6"/>
    <mergeCell ref="A7:B7"/>
    <mergeCell ref="C7:C8"/>
    <mergeCell ref="A21:B21"/>
    <mergeCell ref="A23:B23"/>
    <mergeCell ref="A27:B27"/>
    <mergeCell ref="A9:B9"/>
    <mergeCell ref="A11:B11"/>
    <mergeCell ref="A13:B13"/>
    <mergeCell ref="A19:B19"/>
    <mergeCell ref="A91:B91"/>
    <mergeCell ref="A94:B94"/>
    <mergeCell ref="A85:B85"/>
    <mergeCell ref="A84:B84"/>
    <mergeCell ref="A143:C143"/>
    <mergeCell ref="A29:B29"/>
    <mergeCell ref="A42:B42"/>
    <mergeCell ref="A48:B48"/>
    <mergeCell ref="A55:B55"/>
    <mergeCell ref="A142:C142"/>
    <mergeCell ref="A96:B96"/>
    <mergeCell ref="A102:B102"/>
    <mergeCell ref="A95:B95"/>
    <mergeCell ref="A89:B89"/>
  </mergeCells>
  <printOptions/>
  <pageMargins left="1.21" right="0" top="0.31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69"/>
  <sheetViews>
    <sheetView workbookViewId="0" topLeftCell="A1">
      <selection activeCell="F5" sqref="F5:G5"/>
    </sheetView>
  </sheetViews>
  <sheetFormatPr defaultColWidth="9.125" defaultRowHeight="12.75"/>
  <cols>
    <col min="1" max="1" width="60.625" style="258" customWidth="1"/>
    <col min="2" max="2" width="6.125" style="1" customWidth="1"/>
    <col min="3" max="3" width="7.75390625" style="0" customWidth="1"/>
    <col min="4" max="4" width="6.875" style="0" customWidth="1"/>
    <col min="5" max="5" width="12.25390625" style="0" customWidth="1"/>
    <col min="6" max="6" width="8.125" style="0" customWidth="1"/>
    <col min="7" max="7" width="14.625" style="3" customWidth="1"/>
    <col min="8" max="8" width="6.125" style="3" hidden="1" customWidth="1"/>
    <col min="9" max="9" width="10.75390625" style="3" hidden="1" customWidth="1"/>
    <col min="10" max="10" width="13.125" style="180" hidden="1" customWidth="1"/>
    <col min="11" max="11" width="11.00390625" style="0" hidden="1" customWidth="1"/>
    <col min="12" max="12" width="11.125" style="0" hidden="1" customWidth="1"/>
    <col min="13" max="13" width="10.75390625" style="0" hidden="1" customWidth="1"/>
    <col min="14" max="14" width="10.875" style="0" customWidth="1"/>
  </cols>
  <sheetData>
    <row r="1" spans="6:7" ht="12.75">
      <c r="F1" s="2" t="s">
        <v>388</v>
      </c>
      <c r="G1" s="179"/>
    </row>
    <row r="2" spans="6:7" ht="12.75">
      <c r="F2" s="4" t="s">
        <v>883</v>
      </c>
      <c r="G2" s="179"/>
    </row>
    <row r="3" spans="6:7" ht="12" customHeight="1">
      <c r="F3" s="4" t="s">
        <v>884</v>
      </c>
      <c r="G3" s="179"/>
    </row>
    <row r="4" spans="6:7" ht="12.75" customHeight="1">
      <c r="F4" s="4" t="s">
        <v>885</v>
      </c>
      <c r="G4" s="179"/>
    </row>
    <row r="5" spans="6:9" ht="15.75" customHeight="1">
      <c r="F5" s="368" t="s">
        <v>241</v>
      </c>
      <c r="G5" s="368"/>
      <c r="H5" s="5"/>
      <c r="I5" s="5"/>
    </row>
    <row r="6" spans="2:6" ht="20.25" customHeight="1">
      <c r="B6" s="6" t="s">
        <v>1060</v>
      </c>
      <c r="F6" s="4"/>
    </row>
    <row r="7" spans="2:6" ht="12.75">
      <c r="B7" s="6" t="s">
        <v>886</v>
      </c>
      <c r="F7" s="7"/>
    </row>
    <row r="8" spans="2:6" ht="12.75">
      <c r="B8" s="6" t="s">
        <v>887</v>
      </c>
      <c r="F8" s="7"/>
    </row>
    <row r="9" ht="12.75">
      <c r="B9" s="8" t="s">
        <v>888</v>
      </c>
    </row>
    <row r="10" spans="2:9" ht="15.75" customHeight="1" thickBot="1">
      <c r="B10" s="9"/>
      <c r="G10" s="5"/>
      <c r="H10" s="5"/>
      <c r="I10" s="5"/>
    </row>
    <row r="11" spans="1:9" ht="15" thickBot="1">
      <c r="A11" s="259" t="s">
        <v>889</v>
      </c>
      <c r="B11" s="10" t="s">
        <v>890</v>
      </c>
      <c r="C11" s="11"/>
      <c r="D11" s="12"/>
      <c r="E11" s="12"/>
      <c r="F11" s="12"/>
      <c r="G11" s="13" t="s">
        <v>891</v>
      </c>
      <c r="H11" s="13" t="s">
        <v>892</v>
      </c>
      <c r="I11" s="13" t="s">
        <v>893</v>
      </c>
    </row>
    <row r="12" spans="1:9" ht="39.75" customHeight="1" thickBot="1">
      <c r="A12" s="260"/>
      <c r="B12" s="14" t="s">
        <v>894</v>
      </c>
      <c r="C12" s="15" t="s">
        <v>895</v>
      </c>
      <c r="D12" s="15" t="s">
        <v>896</v>
      </c>
      <c r="E12" s="15" t="s">
        <v>897</v>
      </c>
      <c r="F12" s="16" t="s">
        <v>1136</v>
      </c>
      <c r="G12" s="17" t="s">
        <v>826</v>
      </c>
      <c r="H12" s="17" t="s">
        <v>1137</v>
      </c>
      <c r="I12" s="17" t="s">
        <v>1138</v>
      </c>
    </row>
    <row r="13" spans="1:12" s="22" customFormat="1" ht="15.75">
      <c r="A13" s="261" t="s">
        <v>1139</v>
      </c>
      <c r="B13" s="18"/>
      <c r="C13" s="19" t="s">
        <v>1140</v>
      </c>
      <c r="D13" s="19"/>
      <c r="E13" s="19"/>
      <c r="F13" s="20"/>
      <c r="G13" s="21">
        <f>SUM(G14+G18+G51+G69+G72+G90+G94+G86+G80)</f>
        <v>154878.4</v>
      </c>
      <c r="H13" s="21">
        <f>SUM(H14+H18+H51+H69+H72+H90+H94+H86+H80)</f>
        <v>90646.20000000001</v>
      </c>
      <c r="I13" s="21">
        <f>SUM(H13/G13*100)</f>
        <v>58.52733499313011</v>
      </c>
      <c r="K13" s="307">
        <f>SUM(J14:J134)</f>
        <v>154878.40000000002</v>
      </c>
      <c r="L13" s="22">
        <f>SUM('[1]ведомствен.2012'!G12+'[1]ведомствен.2012'!G38+'[1]ведомствен.2012'!G212+'[1]ведомствен.2012'!G589+'[1]ведомствен.2012'!G626+'[1]ведомствен.2012'!G865)</f>
        <v>154878.40000000002</v>
      </c>
    </row>
    <row r="14" spans="1:10" ht="28.5">
      <c r="A14" s="35" t="s">
        <v>1141</v>
      </c>
      <c r="B14" s="23"/>
      <c r="C14" s="24" t="s">
        <v>1140</v>
      </c>
      <c r="D14" s="24" t="s">
        <v>1142</v>
      </c>
      <c r="E14" s="24"/>
      <c r="F14" s="25"/>
      <c r="G14" s="26">
        <f>SUM(G15)</f>
        <v>1615.2</v>
      </c>
      <c r="H14" s="26">
        <f>SUM(H15)</f>
        <v>983.5</v>
      </c>
      <c r="I14" s="26">
        <f>SUM(H14/G14*100)</f>
        <v>60.890292223873196</v>
      </c>
      <c r="J14"/>
    </row>
    <row r="15" spans="1:10" ht="41.25" customHeight="1">
      <c r="A15" s="27" t="s">
        <v>1143</v>
      </c>
      <c r="B15" s="23"/>
      <c r="C15" s="24" t="s">
        <v>1140</v>
      </c>
      <c r="D15" s="24" t="s">
        <v>1142</v>
      </c>
      <c r="E15" s="24" t="s">
        <v>1144</v>
      </c>
      <c r="F15" s="25"/>
      <c r="G15" s="26">
        <f>SUM(G17:G17)</f>
        <v>1615.2</v>
      </c>
      <c r="H15" s="26">
        <f>SUM(H17:H17)</f>
        <v>983.5</v>
      </c>
      <c r="I15" s="26">
        <f aca="true" t="shared" si="0" ref="I15:I78">SUM(H15/G15*100)</f>
        <v>60.890292223873196</v>
      </c>
      <c r="J15"/>
    </row>
    <row r="16" spans="1:10" ht="16.5" customHeight="1">
      <c r="A16" s="27" t="s">
        <v>1145</v>
      </c>
      <c r="B16" s="23"/>
      <c r="C16" s="24" t="s">
        <v>1140</v>
      </c>
      <c r="D16" s="24" t="s">
        <v>1142</v>
      </c>
      <c r="E16" s="24" t="s">
        <v>1146</v>
      </c>
      <c r="F16" s="25"/>
      <c r="G16" s="26">
        <f>SUM(G17)</f>
        <v>1615.2</v>
      </c>
      <c r="H16" s="26">
        <f>SUM(H17)</f>
        <v>983.5</v>
      </c>
      <c r="I16" s="26">
        <f t="shared" si="0"/>
        <v>60.890292223873196</v>
      </c>
      <c r="J16"/>
    </row>
    <row r="17" spans="1:13" ht="19.5" customHeight="1">
      <c r="A17" s="27" t="s">
        <v>1147</v>
      </c>
      <c r="B17" s="23"/>
      <c r="C17" s="24" t="s">
        <v>1140</v>
      </c>
      <c r="D17" s="24" t="s">
        <v>1142</v>
      </c>
      <c r="E17" s="24" t="s">
        <v>1146</v>
      </c>
      <c r="F17" s="25" t="s">
        <v>1148</v>
      </c>
      <c r="G17" s="26">
        <v>1615.2</v>
      </c>
      <c r="H17" s="26">
        <v>983.5</v>
      </c>
      <c r="I17" s="26">
        <f t="shared" si="0"/>
        <v>60.890292223873196</v>
      </c>
      <c r="J17" s="180">
        <f>SUM('[1]ведомствен.2012'!G16)</f>
        <v>1615.2</v>
      </c>
      <c r="M17" s="180" t="e">
        <f>SUM(#REF!)</f>
        <v>#REF!</v>
      </c>
    </row>
    <row r="18" spans="1:10" ht="44.25" customHeight="1">
      <c r="A18" s="27" t="s">
        <v>1149</v>
      </c>
      <c r="B18" s="23"/>
      <c r="C18" s="24" t="s">
        <v>1140</v>
      </c>
      <c r="D18" s="24" t="s">
        <v>1150</v>
      </c>
      <c r="E18" s="24"/>
      <c r="F18" s="25"/>
      <c r="G18" s="26">
        <f>SUM(G19)</f>
        <v>17349.2</v>
      </c>
      <c r="H18" s="26">
        <f>SUM(H19)</f>
        <v>8231.8</v>
      </c>
      <c r="I18" s="26">
        <f t="shared" si="0"/>
        <v>47.44772093237728</v>
      </c>
      <c r="J18"/>
    </row>
    <row r="19" spans="1:10" ht="42.75" customHeight="1">
      <c r="A19" s="27" t="s">
        <v>1143</v>
      </c>
      <c r="B19" s="23"/>
      <c r="C19" s="24" t="s">
        <v>1140</v>
      </c>
      <c r="D19" s="24" t="s">
        <v>1150</v>
      </c>
      <c r="E19" s="24" t="s">
        <v>1144</v>
      </c>
      <c r="F19" s="28"/>
      <c r="G19" s="26">
        <f>SUM(G20+G22)</f>
        <v>17349.2</v>
      </c>
      <c r="H19" s="26">
        <f>SUM(H20+H22)</f>
        <v>8231.8</v>
      </c>
      <c r="I19" s="26">
        <f t="shared" si="0"/>
        <v>47.44772093237728</v>
      </c>
      <c r="J19"/>
    </row>
    <row r="20" spans="1:10" ht="15">
      <c r="A20" s="27" t="s">
        <v>1151</v>
      </c>
      <c r="B20" s="23"/>
      <c r="C20" s="24" t="s">
        <v>1152</v>
      </c>
      <c r="D20" s="24" t="s">
        <v>1150</v>
      </c>
      <c r="E20" s="24" t="s">
        <v>1153</v>
      </c>
      <c r="F20" s="28"/>
      <c r="G20" s="26">
        <f>SUM(G21)</f>
        <v>17349.2</v>
      </c>
      <c r="H20" s="26">
        <f>SUM(H21)</f>
        <v>8068.7</v>
      </c>
      <c r="I20" s="26">
        <f t="shared" si="0"/>
        <v>46.50761994789384</v>
      </c>
      <c r="J20"/>
    </row>
    <row r="21" spans="1:13" ht="18" customHeight="1">
      <c r="A21" s="27" t="s">
        <v>1147</v>
      </c>
      <c r="B21" s="23"/>
      <c r="C21" s="24" t="s">
        <v>1140</v>
      </c>
      <c r="D21" s="24" t="s">
        <v>1150</v>
      </c>
      <c r="E21" s="24" t="s">
        <v>1153</v>
      </c>
      <c r="F21" s="25" t="s">
        <v>1148</v>
      </c>
      <c r="G21" s="26">
        <v>17349.2</v>
      </c>
      <c r="H21" s="26">
        <v>8068.7</v>
      </c>
      <c r="I21" s="26">
        <f t="shared" si="0"/>
        <v>46.50761994789384</v>
      </c>
      <c r="J21" s="180">
        <f>SUM('[1]ведомствен.2012'!G20)+'[1]ведомствен.2012'!G630</f>
        <v>17349.199999999997</v>
      </c>
      <c r="M21" s="180" t="e">
        <f>SUM(#REF!)</f>
        <v>#REF!</v>
      </c>
    </row>
    <row r="22" spans="1:10" ht="28.5" customHeight="1" hidden="1">
      <c r="A22" s="27" t="s">
        <v>1154</v>
      </c>
      <c r="B22" s="23"/>
      <c r="C22" s="24" t="s">
        <v>1152</v>
      </c>
      <c r="D22" s="24" t="s">
        <v>1150</v>
      </c>
      <c r="E22" s="24" t="s">
        <v>1155</v>
      </c>
      <c r="F22" s="25"/>
      <c r="G22" s="26">
        <f>SUM(G23)</f>
        <v>0</v>
      </c>
      <c r="H22" s="26">
        <f>SUM(H23)</f>
        <v>163.10000000000002</v>
      </c>
      <c r="I22" s="26" t="e">
        <f t="shared" si="0"/>
        <v>#DIV/0!</v>
      </c>
      <c r="J22"/>
    </row>
    <row r="23" spans="1:10" ht="21.75" customHeight="1" hidden="1">
      <c r="A23" s="27" t="s">
        <v>1147</v>
      </c>
      <c r="B23" s="23"/>
      <c r="C23" s="24" t="s">
        <v>1152</v>
      </c>
      <c r="D23" s="24" t="s">
        <v>1150</v>
      </c>
      <c r="E23" s="24" t="s">
        <v>1155</v>
      </c>
      <c r="F23" s="25" t="s">
        <v>1148</v>
      </c>
      <c r="G23" s="26"/>
      <c r="H23" s="26">
        <f>913.5-750.4</f>
        <v>163.10000000000002</v>
      </c>
      <c r="I23" s="26" t="e">
        <f t="shared" si="0"/>
        <v>#DIV/0!</v>
      </c>
      <c r="J23"/>
    </row>
    <row r="24" spans="1:10" ht="15" customHeight="1" hidden="1">
      <c r="A24" s="27" t="s">
        <v>1156</v>
      </c>
      <c r="B24" s="23"/>
      <c r="C24" s="24" t="s">
        <v>1140</v>
      </c>
      <c r="D24" s="24" t="s">
        <v>1157</v>
      </c>
      <c r="E24" s="24"/>
      <c r="F24" s="28"/>
      <c r="G24" s="26">
        <f>SUM(G25)</f>
        <v>0</v>
      </c>
      <c r="H24" s="26">
        <f>SUM(H25)</f>
        <v>0</v>
      </c>
      <c r="I24" s="26" t="e">
        <f t="shared" si="0"/>
        <v>#DIV/0!</v>
      </c>
      <c r="J24"/>
    </row>
    <row r="25" spans="1:10" ht="28.5" customHeight="1" hidden="1">
      <c r="A25" s="27" t="s">
        <v>1158</v>
      </c>
      <c r="B25" s="23"/>
      <c r="C25" s="24" t="s">
        <v>1140</v>
      </c>
      <c r="D25" s="24" t="s">
        <v>1157</v>
      </c>
      <c r="E25" s="24" t="s">
        <v>1159</v>
      </c>
      <c r="F25" s="29"/>
      <c r="G25" s="26">
        <f>SUM(G26)</f>
        <v>0</v>
      </c>
      <c r="H25" s="26">
        <f>SUM(H26)</f>
        <v>0</v>
      </c>
      <c r="I25" s="26" t="e">
        <f t="shared" si="0"/>
        <v>#DIV/0!</v>
      </c>
      <c r="J25"/>
    </row>
    <row r="26" spans="1:10" ht="15" customHeight="1" hidden="1">
      <c r="A26" s="27" t="s">
        <v>1160</v>
      </c>
      <c r="B26" s="23"/>
      <c r="C26" s="24" t="s">
        <v>1140</v>
      </c>
      <c r="D26" s="24" t="s">
        <v>1157</v>
      </c>
      <c r="E26" s="24" t="s">
        <v>1159</v>
      </c>
      <c r="F26" s="29" t="s">
        <v>1161</v>
      </c>
      <c r="G26" s="26"/>
      <c r="H26" s="26"/>
      <c r="I26" s="26" t="e">
        <f t="shared" si="0"/>
        <v>#DIV/0!</v>
      </c>
      <c r="J26"/>
    </row>
    <row r="27" spans="1:9" s="31" customFormat="1" ht="15" customHeight="1" hidden="1">
      <c r="A27" s="27" t="s">
        <v>1162</v>
      </c>
      <c r="B27" s="30"/>
      <c r="C27" s="24" t="s">
        <v>1163</v>
      </c>
      <c r="D27" s="24"/>
      <c r="E27" s="24"/>
      <c r="F27" s="25"/>
      <c r="G27" s="26">
        <f aca="true" t="shared" si="1" ref="G27:H29">SUM(G28)</f>
        <v>0</v>
      </c>
      <c r="H27" s="26">
        <f t="shared" si="1"/>
        <v>0</v>
      </c>
      <c r="I27" s="26" t="e">
        <f t="shared" si="0"/>
        <v>#DIV/0!</v>
      </c>
    </row>
    <row r="28" spans="1:9" s="31" customFormat="1" ht="15" customHeight="1" hidden="1">
      <c r="A28" s="27" t="s">
        <v>1164</v>
      </c>
      <c r="B28" s="30"/>
      <c r="C28" s="24" t="s">
        <v>1163</v>
      </c>
      <c r="D28" s="24" t="s">
        <v>1163</v>
      </c>
      <c r="E28" s="24"/>
      <c r="F28" s="25"/>
      <c r="G28" s="26">
        <f t="shared" si="1"/>
        <v>0</v>
      </c>
      <c r="H28" s="26">
        <f t="shared" si="1"/>
        <v>0</v>
      </c>
      <c r="I28" s="26" t="e">
        <f t="shared" si="0"/>
        <v>#DIV/0!</v>
      </c>
    </row>
    <row r="29" spans="1:9" s="31" customFormat="1" ht="28.5" customHeight="1" hidden="1">
      <c r="A29" s="27" t="s">
        <v>1165</v>
      </c>
      <c r="B29" s="30"/>
      <c r="C29" s="24" t="s">
        <v>1163</v>
      </c>
      <c r="D29" s="24" t="s">
        <v>1163</v>
      </c>
      <c r="E29" s="24" t="s">
        <v>1166</v>
      </c>
      <c r="F29" s="25"/>
      <c r="G29" s="26">
        <f t="shared" si="1"/>
        <v>0</v>
      </c>
      <c r="H29" s="26">
        <f t="shared" si="1"/>
        <v>0</v>
      </c>
      <c r="I29" s="26" t="e">
        <f t="shared" si="0"/>
        <v>#DIV/0!</v>
      </c>
    </row>
    <row r="30" spans="1:9" s="31" customFormat="1" ht="15" customHeight="1" hidden="1">
      <c r="A30" s="27" t="s">
        <v>1167</v>
      </c>
      <c r="B30" s="30"/>
      <c r="C30" s="24" t="s">
        <v>1163</v>
      </c>
      <c r="D30" s="24" t="s">
        <v>1163</v>
      </c>
      <c r="E30" s="24" t="s">
        <v>1166</v>
      </c>
      <c r="F30" s="25" t="s">
        <v>1168</v>
      </c>
      <c r="G30" s="26"/>
      <c r="H30" s="26"/>
      <c r="I30" s="26" t="e">
        <f t="shared" si="0"/>
        <v>#DIV/0!</v>
      </c>
    </row>
    <row r="31" spans="1:9" s="31" customFormat="1" ht="15" customHeight="1" hidden="1">
      <c r="A31" s="99" t="s">
        <v>1162</v>
      </c>
      <c r="B31" s="32"/>
      <c r="C31" s="33" t="s">
        <v>1163</v>
      </c>
      <c r="D31" s="24"/>
      <c r="E31" s="24"/>
      <c r="F31" s="25"/>
      <c r="G31" s="26">
        <f aca="true" t="shared" si="2" ref="G31:H33">SUM(G32)</f>
        <v>0</v>
      </c>
      <c r="H31" s="26">
        <f t="shared" si="2"/>
        <v>0</v>
      </c>
      <c r="I31" s="26" t="e">
        <f t="shared" si="0"/>
        <v>#DIV/0!</v>
      </c>
    </row>
    <row r="32" spans="1:9" s="31" customFormat="1" ht="15" customHeight="1" hidden="1">
      <c r="A32" s="27" t="s">
        <v>1164</v>
      </c>
      <c r="B32" s="30"/>
      <c r="C32" s="24" t="s">
        <v>1163</v>
      </c>
      <c r="D32" s="24" t="s">
        <v>1163</v>
      </c>
      <c r="E32" s="24"/>
      <c r="F32" s="25"/>
      <c r="G32" s="26">
        <f t="shared" si="2"/>
        <v>0</v>
      </c>
      <c r="H32" s="26">
        <f t="shared" si="2"/>
        <v>0</v>
      </c>
      <c r="I32" s="26" t="e">
        <f t="shared" si="0"/>
        <v>#DIV/0!</v>
      </c>
    </row>
    <row r="33" spans="1:9" s="31" customFormat="1" ht="28.5" customHeight="1" hidden="1">
      <c r="A33" s="27" t="s">
        <v>1165</v>
      </c>
      <c r="B33" s="30"/>
      <c r="C33" s="24" t="s">
        <v>1163</v>
      </c>
      <c r="D33" s="24" t="s">
        <v>1163</v>
      </c>
      <c r="E33" s="24" t="s">
        <v>1166</v>
      </c>
      <c r="F33" s="25"/>
      <c r="G33" s="26">
        <f t="shared" si="2"/>
        <v>0</v>
      </c>
      <c r="H33" s="26">
        <f t="shared" si="2"/>
        <v>0</v>
      </c>
      <c r="I33" s="26" t="e">
        <f t="shared" si="0"/>
        <v>#DIV/0!</v>
      </c>
    </row>
    <row r="34" spans="1:9" s="31" customFormat="1" ht="15" customHeight="1" hidden="1">
      <c r="A34" s="27" t="s">
        <v>1167</v>
      </c>
      <c r="B34" s="30"/>
      <c r="C34" s="24" t="s">
        <v>1163</v>
      </c>
      <c r="D34" s="24" t="s">
        <v>1163</v>
      </c>
      <c r="E34" s="24" t="s">
        <v>1166</v>
      </c>
      <c r="F34" s="25" t="s">
        <v>1168</v>
      </c>
      <c r="G34" s="26"/>
      <c r="H34" s="26"/>
      <c r="I34" s="26" t="e">
        <f t="shared" si="0"/>
        <v>#DIV/0!</v>
      </c>
    </row>
    <row r="35" spans="1:9" s="34" customFormat="1" ht="15" customHeight="1" hidden="1">
      <c r="A35" s="27"/>
      <c r="B35" s="30"/>
      <c r="C35" s="24"/>
      <c r="D35" s="24"/>
      <c r="E35" s="24"/>
      <c r="F35" s="25"/>
      <c r="G35" s="26"/>
      <c r="H35" s="26"/>
      <c r="I35" s="26" t="e">
        <f t="shared" si="0"/>
        <v>#DIV/0!</v>
      </c>
    </row>
    <row r="36" spans="1:10" ht="42.75" customHeight="1" hidden="1">
      <c r="A36" s="27" t="s">
        <v>1169</v>
      </c>
      <c r="B36" s="23"/>
      <c r="C36" s="24" t="s">
        <v>1140</v>
      </c>
      <c r="D36" s="24" t="s">
        <v>1157</v>
      </c>
      <c r="E36" s="24" t="s">
        <v>1170</v>
      </c>
      <c r="F36" s="25"/>
      <c r="G36" s="26">
        <f>SUM(G37)</f>
        <v>0</v>
      </c>
      <c r="H36" s="26">
        <f>SUM(H37)</f>
        <v>0</v>
      </c>
      <c r="I36" s="26" t="e">
        <f t="shared" si="0"/>
        <v>#DIV/0!</v>
      </c>
      <c r="J36"/>
    </row>
    <row r="37" spans="1:10" ht="42.75" customHeight="1" hidden="1">
      <c r="A37" s="27" t="s">
        <v>1171</v>
      </c>
      <c r="B37" s="23"/>
      <c r="C37" s="24" t="s">
        <v>1140</v>
      </c>
      <c r="D37" s="24" t="s">
        <v>1157</v>
      </c>
      <c r="E37" s="24" t="s">
        <v>1170</v>
      </c>
      <c r="F37" s="25" t="s">
        <v>1172</v>
      </c>
      <c r="G37" s="26"/>
      <c r="H37" s="26"/>
      <c r="I37" s="26" t="e">
        <f t="shared" si="0"/>
        <v>#DIV/0!</v>
      </c>
      <c r="J37"/>
    </row>
    <row r="38" spans="1:10" ht="14.25" customHeight="1" hidden="1">
      <c r="A38" s="35" t="s">
        <v>1173</v>
      </c>
      <c r="B38" s="23"/>
      <c r="C38" s="24" t="s">
        <v>1174</v>
      </c>
      <c r="D38" s="24"/>
      <c r="E38" s="24"/>
      <c r="F38" s="28"/>
      <c r="G38" s="26">
        <f>SUM(G42+G39)</f>
        <v>0</v>
      </c>
      <c r="H38" s="26">
        <f>SUM(H42+H39)</f>
        <v>0</v>
      </c>
      <c r="I38" s="26" t="e">
        <f t="shared" si="0"/>
        <v>#DIV/0!</v>
      </c>
      <c r="J38"/>
    </row>
    <row r="39" spans="1:10" ht="15" customHeight="1" hidden="1">
      <c r="A39" s="35" t="s">
        <v>1175</v>
      </c>
      <c r="B39" s="23"/>
      <c r="C39" s="24" t="s">
        <v>1174</v>
      </c>
      <c r="D39" s="24" t="s">
        <v>1176</v>
      </c>
      <c r="E39" s="24"/>
      <c r="F39" s="28"/>
      <c r="G39" s="26">
        <f>SUM(G40)</f>
        <v>0</v>
      </c>
      <c r="H39" s="26">
        <f>SUM(H40)</f>
        <v>0</v>
      </c>
      <c r="I39" s="26" t="e">
        <f t="shared" si="0"/>
        <v>#DIV/0!</v>
      </c>
      <c r="J39"/>
    </row>
    <row r="40" spans="1:10" ht="15" customHeight="1" hidden="1">
      <c r="A40" s="35" t="s">
        <v>1177</v>
      </c>
      <c r="B40" s="23"/>
      <c r="C40" s="24" t="s">
        <v>1174</v>
      </c>
      <c r="D40" s="24" t="s">
        <v>1176</v>
      </c>
      <c r="E40" s="24" t="s">
        <v>32</v>
      </c>
      <c r="F40" s="25"/>
      <c r="G40" s="26">
        <f>SUM(G41)</f>
        <v>0</v>
      </c>
      <c r="H40" s="26">
        <f>SUM(H41)</f>
        <v>0</v>
      </c>
      <c r="I40" s="26" t="e">
        <f t="shared" si="0"/>
        <v>#DIV/0!</v>
      </c>
      <c r="J40"/>
    </row>
    <row r="41" spans="1:10" ht="15" customHeight="1" hidden="1">
      <c r="A41" s="35" t="s">
        <v>33</v>
      </c>
      <c r="B41" s="23"/>
      <c r="C41" s="24" t="s">
        <v>1174</v>
      </c>
      <c r="D41" s="24" t="s">
        <v>1176</v>
      </c>
      <c r="E41" s="24" t="s">
        <v>32</v>
      </c>
      <c r="F41" s="25" t="s">
        <v>34</v>
      </c>
      <c r="G41" s="26"/>
      <c r="H41" s="26"/>
      <c r="I41" s="26" t="e">
        <f t="shared" si="0"/>
        <v>#DIV/0!</v>
      </c>
      <c r="J41"/>
    </row>
    <row r="42" spans="1:10" ht="14.25" customHeight="1" hidden="1">
      <c r="A42" s="262" t="s">
        <v>35</v>
      </c>
      <c r="B42" s="36"/>
      <c r="C42" s="37" t="s">
        <v>1174</v>
      </c>
      <c r="D42" s="37" t="s">
        <v>36</v>
      </c>
      <c r="E42" s="37"/>
      <c r="F42" s="28"/>
      <c r="G42" s="26">
        <f>SUM(G43+G45)</f>
        <v>0</v>
      </c>
      <c r="H42" s="26">
        <f>SUM(H43+H45)</f>
        <v>0</v>
      </c>
      <c r="I42" s="26" t="e">
        <f t="shared" si="0"/>
        <v>#DIV/0!</v>
      </c>
      <c r="J42"/>
    </row>
    <row r="43" spans="1:10" ht="28.5" customHeight="1" hidden="1">
      <c r="A43" s="35" t="s">
        <v>37</v>
      </c>
      <c r="B43" s="23"/>
      <c r="C43" s="24" t="s">
        <v>1174</v>
      </c>
      <c r="D43" s="24" t="s">
        <v>36</v>
      </c>
      <c r="E43" s="24" t="s">
        <v>38</v>
      </c>
      <c r="F43" s="28"/>
      <c r="G43" s="26">
        <f>SUM(G44)</f>
        <v>0</v>
      </c>
      <c r="H43" s="26">
        <f>SUM(H44)</f>
        <v>0</v>
      </c>
      <c r="I43" s="26" t="e">
        <f t="shared" si="0"/>
        <v>#DIV/0!</v>
      </c>
      <c r="J43"/>
    </row>
    <row r="44" spans="1:10" ht="15" customHeight="1" hidden="1">
      <c r="A44" s="35" t="s">
        <v>1068</v>
      </c>
      <c r="B44" s="23"/>
      <c r="C44" s="24" t="s">
        <v>1174</v>
      </c>
      <c r="D44" s="24" t="s">
        <v>36</v>
      </c>
      <c r="E44" s="24" t="s">
        <v>38</v>
      </c>
      <c r="F44" s="28" t="s">
        <v>1069</v>
      </c>
      <c r="G44" s="26"/>
      <c r="H44" s="26"/>
      <c r="I44" s="26" t="e">
        <f t="shared" si="0"/>
        <v>#DIV/0!</v>
      </c>
      <c r="J44"/>
    </row>
    <row r="45" spans="1:10" ht="15" customHeight="1" hidden="1">
      <c r="A45" s="262" t="s">
        <v>1070</v>
      </c>
      <c r="B45" s="36"/>
      <c r="C45" s="37" t="s">
        <v>1174</v>
      </c>
      <c r="D45" s="37" t="s">
        <v>36</v>
      </c>
      <c r="E45" s="37" t="s">
        <v>1071</v>
      </c>
      <c r="F45" s="28"/>
      <c r="G45" s="26">
        <f>SUM(G46)</f>
        <v>0</v>
      </c>
      <c r="H45" s="26">
        <f>SUM(H46)</f>
        <v>0</v>
      </c>
      <c r="I45" s="26" t="e">
        <f t="shared" si="0"/>
        <v>#DIV/0!</v>
      </c>
      <c r="J45"/>
    </row>
    <row r="46" spans="1:10" ht="15" customHeight="1" hidden="1">
      <c r="A46" s="262" t="s">
        <v>1072</v>
      </c>
      <c r="B46" s="36"/>
      <c r="C46" s="37" t="s">
        <v>1174</v>
      </c>
      <c r="D46" s="37" t="s">
        <v>36</v>
      </c>
      <c r="E46" s="37" t="s">
        <v>1071</v>
      </c>
      <c r="F46" s="28" t="s">
        <v>1073</v>
      </c>
      <c r="G46" s="26"/>
      <c r="H46" s="26"/>
      <c r="I46" s="26" t="e">
        <f t="shared" si="0"/>
        <v>#DIV/0!</v>
      </c>
      <c r="J46"/>
    </row>
    <row r="47" spans="1:10" ht="15" customHeight="1" hidden="1">
      <c r="A47" s="99" t="s">
        <v>1162</v>
      </c>
      <c r="B47" s="32"/>
      <c r="C47" s="33" t="s">
        <v>1163</v>
      </c>
      <c r="D47" s="24"/>
      <c r="E47" s="24"/>
      <c r="F47" s="25"/>
      <c r="G47" s="26">
        <f aca="true" t="shared" si="3" ref="G47:H49">SUM(G48)</f>
        <v>0</v>
      </c>
      <c r="H47" s="26">
        <f t="shared" si="3"/>
        <v>0</v>
      </c>
      <c r="I47" s="26" t="e">
        <f t="shared" si="0"/>
        <v>#DIV/0!</v>
      </c>
      <c r="J47"/>
    </row>
    <row r="48" spans="1:10" ht="15" customHeight="1" hidden="1">
      <c r="A48" s="27" t="s">
        <v>1164</v>
      </c>
      <c r="B48" s="30"/>
      <c r="C48" s="24" t="s">
        <v>1163</v>
      </c>
      <c r="D48" s="24" t="s">
        <v>1163</v>
      </c>
      <c r="E48" s="24"/>
      <c r="F48" s="25"/>
      <c r="G48" s="26">
        <f t="shared" si="3"/>
        <v>0</v>
      </c>
      <c r="H48" s="26">
        <f t="shared" si="3"/>
        <v>0</v>
      </c>
      <c r="I48" s="26" t="e">
        <f t="shared" si="0"/>
        <v>#DIV/0!</v>
      </c>
      <c r="J48"/>
    </row>
    <row r="49" spans="1:10" ht="28.5" customHeight="1" hidden="1">
      <c r="A49" s="27" t="s">
        <v>1165</v>
      </c>
      <c r="B49" s="30"/>
      <c r="C49" s="24" t="s">
        <v>1163</v>
      </c>
      <c r="D49" s="24" t="s">
        <v>1163</v>
      </c>
      <c r="E49" s="24" t="s">
        <v>1166</v>
      </c>
      <c r="F49" s="25"/>
      <c r="G49" s="26">
        <f t="shared" si="3"/>
        <v>0</v>
      </c>
      <c r="H49" s="26">
        <f t="shared" si="3"/>
        <v>0</v>
      </c>
      <c r="I49" s="26" t="e">
        <f t="shared" si="0"/>
        <v>#DIV/0!</v>
      </c>
      <c r="J49"/>
    </row>
    <row r="50" spans="1:10" ht="3.75" customHeight="1" hidden="1">
      <c r="A50" s="27" t="s">
        <v>1167</v>
      </c>
      <c r="B50" s="30"/>
      <c r="C50" s="24" t="s">
        <v>1163</v>
      </c>
      <c r="D50" s="24" t="s">
        <v>1163</v>
      </c>
      <c r="E50" s="24" t="s">
        <v>1166</v>
      </c>
      <c r="F50" s="25" t="s">
        <v>1168</v>
      </c>
      <c r="G50" s="26"/>
      <c r="H50" s="26"/>
      <c r="I50" s="26" t="e">
        <f t="shared" si="0"/>
        <v>#DIV/0!</v>
      </c>
      <c r="J50"/>
    </row>
    <row r="51" spans="1:10" ht="44.25" customHeight="1">
      <c r="A51" s="27" t="s">
        <v>1179</v>
      </c>
      <c r="B51" s="23"/>
      <c r="C51" s="24" t="s">
        <v>1140</v>
      </c>
      <c r="D51" s="24" t="s">
        <v>1174</v>
      </c>
      <c r="E51" s="24"/>
      <c r="F51" s="25"/>
      <c r="G51" s="26">
        <f>SUM(G52)+G64+G62</f>
        <v>94740</v>
      </c>
      <c r="H51" s="26">
        <f>SUM(H52)+H64+H62</f>
        <v>52319.90000000001</v>
      </c>
      <c r="I51" s="26">
        <f t="shared" si="0"/>
        <v>55.22472028710155</v>
      </c>
      <c r="J51"/>
    </row>
    <row r="52" spans="1:10" ht="45.75" customHeight="1">
      <c r="A52" s="27" t="s">
        <v>1143</v>
      </c>
      <c r="B52" s="23"/>
      <c r="C52" s="24" t="s">
        <v>1140</v>
      </c>
      <c r="D52" s="24" t="s">
        <v>1174</v>
      </c>
      <c r="E52" s="24" t="s">
        <v>1144</v>
      </c>
      <c r="F52" s="28"/>
      <c r="G52" s="26">
        <f>SUM(G53+G60)</f>
        <v>94478</v>
      </c>
      <c r="H52" s="26">
        <f>SUM(H53+H60)</f>
        <v>51899.200000000004</v>
      </c>
      <c r="I52" s="26">
        <f t="shared" si="0"/>
        <v>54.93257689620864</v>
      </c>
      <c r="J52"/>
    </row>
    <row r="53" spans="1:10" ht="15">
      <c r="A53" s="27" t="s">
        <v>1151</v>
      </c>
      <c r="B53" s="23"/>
      <c r="C53" s="24" t="s">
        <v>1140</v>
      </c>
      <c r="D53" s="24" t="s">
        <v>1174</v>
      </c>
      <c r="E53" s="24" t="s">
        <v>1153</v>
      </c>
      <c r="F53" s="28"/>
      <c r="G53" s="26">
        <f>SUM(G54:G54+G55+G57+G59)+G56+G58</f>
        <v>93422</v>
      </c>
      <c r="H53" s="26">
        <f>SUM(H54:H54+H55+H57+H59)+H56</f>
        <v>51161.8</v>
      </c>
      <c r="I53" s="26">
        <f t="shared" si="0"/>
        <v>54.7641883068228</v>
      </c>
      <c r="J53"/>
    </row>
    <row r="54" spans="1:13" ht="15">
      <c r="A54" s="27" t="s">
        <v>1147</v>
      </c>
      <c r="B54" s="23"/>
      <c r="C54" s="24" t="s">
        <v>1140</v>
      </c>
      <c r="D54" s="24" t="s">
        <v>1174</v>
      </c>
      <c r="E54" s="24" t="s">
        <v>1153</v>
      </c>
      <c r="F54" s="25" t="s">
        <v>1148</v>
      </c>
      <c r="G54" s="26">
        <v>91842.7</v>
      </c>
      <c r="H54" s="26">
        <v>50612.1</v>
      </c>
      <c r="I54" s="26">
        <f t="shared" si="0"/>
        <v>55.107373803252734</v>
      </c>
      <c r="J54" s="180">
        <f>SUM('[1]ведомствен.2012'!G216+'[1]ведомствен.2012'!G868)+'[1]ведомствен.2012'!G634</f>
        <v>91842.70000000001</v>
      </c>
      <c r="M54" s="180" t="e">
        <f>SUM(#REF!+#REF!+#REF!)</f>
        <v>#REF!</v>
      </c>
    </row>
    <row r="55" spans="1:13" ht="42.75">
      <c r="A55" s="27" t="s">
        <v>1180</v>
      </c>
      <c r="B55" s="23"/>
      <c r="C55" s="24" t="s">
        <v>1140</v>
      </c>
      <c r="D55" s="24" t="s">
        <v>1174</v>
      </c>
      <c r="E55" s="24" t="s">
        <v>1181</v>
      </c>
      <c r="F55" s="25" t="s">
        <v>1148</v>
      </c>
      <c r="G55" s="26">
        <v>1319.8</v>
      </c>
      <c r="H55" s="26">
        <v>507.8</v>
      </c>
      <c r="I55" s="26">
        <f t="shared" si="0"/>
        <v>38.47552659493863</v>
      </c>
      <c r="J55" s="180">
        <f>SUM('[1]ведомствен.2012'!G217)</f>
        <v>1319.8</v>
      </c>
      <c r="M55" s="180" t="e">
        <f>SUM(#REF!)</f>
        <v>#REF!</v>
      </c>
    </row>
    <row r="56" spans="1:10" ht="57" customHeight="1" hidden="1">
      <c r="A56" s="27" t="s">
        <v>1182</v>
      </c>
      <c r="B56" s="23"/>
      <c r="C56" s="24" t="s">
        <v>1140</v>
      </c>
      <c r="D56" s="24" t="s">
        <v>1174</v>
      </c>
      <c r="E56" s="24" t="s">
        <v>1183</v>
      </c>
      <c r="F56" s="25" t="s">
        <v>1148</v>
      </c>
      <c r="G56" s="26"/>
      <c r="H56" s="26"/>
      <c r="I56" s="26" t="e">
        <f t="shared" si="0"/>
        <v>#DIV/0!</v>
      </c>
      <c r="J56"/>
    </row>
    <row r="57" spans="1:13" ht="56.25" customHeight="1" hidden="1">
      <c r="A57" s="27" t="s">
        <v>1184</v>
      </c>
      <c r="B57" s="23"/>
      <c r="C57" s="24" t="s">
        <v>1140</v>
      </c>
      <c r="D57" s="24" t="s">
        <v>1174</v>
      </c>
      <c r="E57" s="24" t="s">
        <v>1185</v>
      </c>
      <c r="F57" s="25" t="s">
        <v>1148</v>
      </c>
      <c r="G57" s="26"/>
      <c r="H57" s="26">
        <v>41.9</v>
      </c>
      <c r="I57" s="26" t="e">
        <f t="shared" si="0"/>
        <v>#DIV/0!</v>
      </c>
      <c r="M57" s="180" t="e">
        <f>SUM(#REF!)</f>
        <v>#REF!</v>
      </c>
    </row>
    <row r="58" spans="1:13" ht="46.5" customHeight="1">
      <c r="A58" s="27" t="s">
        <v>634</v>
      </c>
      <c r="B58" s="23"/>
      <c r="C58" s="24" t="s">
        <v>1140</v>
      </c>
      <c r="D58" s="24" t="s">
        <v>1174</v>
      </c>
      <c r="E58" s="24" t="s">
        <v>635</v>
      </c>
      <c r="F58" s="25" t="s">
        <v>1148</v>
      </c>
      <c r="G58" s="26">
        <v>89.4</v>
      </c>
      <c r="H58" s="26"/>
      <c r="I58" s="26">
        <f>SUM(H58/G58*100)</f>
        <v>0</v>
      </c>
      <c r="J58" s="180">
        <f>SUM('[1]ведомствен.2012'!G220)</f>
        <v>89.4</v>
      </c>
      <c r="M58" s="180" t="e">
        <f>SUM(#REF!)</f>
        <v>#REF!</v>
      </c>
    </row>
    <row r="59" spans="1:13" ht="39.75" customHeight="1">
      <c r="A59" s="281" t="s">
        <v>500</v>
      </c>
      <c r="B59" s="36"/>
      <c r="C59" s="37" t="s">
        <v>1140</v>
      </c>
      <c r="D59" s="37" t="s">
        <v>1174</v>
      </c>
      <c r="E59" s="37" t="s">
        <v>501</v>
      </c>
      <c r="F59" s="25" t="s">
        <v>1148</v>
      </c>
      <c r="G59" s="26">
        <v>170.1</v>
      </c>
      <c r="H59" s="26"/>
      <c r="I59" s="26">
        <f t="shared" si="0"/>
        <v>0</v>
      </c>
      <c r="J59" s="180">
        <f>SUM('[1]ведомствен.2012'!G221)</f>
        <v>170.1</v>
      </c>
      <c r="M59" s="180" t="e">
        <f>SUM(#REF!)</f>
        <v>#REF!</v>
      </c>
    </row>
    <row r="60" spans="1:10" ht="28.5">
      <c r="A60" s="27" t="s">
        <v>636</v>
      </c>
      <c r="B60" s="23"/>
      <c r="C60" s="24" t="s">
        <v>1152</v>
      </c>
      <c r="D60" s="24" t="s">
        <v>1174</v>
      </c>
      <c r="E60" s="24" t="s">
        <v>637</v>
      </c>
      <c r="F60" s="28"/>
      <c r="G60" s="26">
        <f>SUM(G61)</f>
        <v>1056</v>
      </c>
      <c r="H60" s="26">
        <f>SUM(H61)</f>
        <v>737.4</v>
      </c>
      <c r="I60" s="26">
        <f t="shared" si="0"/>
        <v>69.82954545454545</v>
      </c>
      <c r="J60"/>
    </row>
    <row r="61" spans="1:13" ht="15" customHeight="1">
      <c r="A61" s="27" t="s">
        <v>1147</v>
      </c>
      <c r="B61" s="23"/>
      <c r="C61" s="24" t="s">
        <v>1140</v>
      </c>
      <c r="D61" s="24" t="s">
        <v>1174</v>
      </c>
      <c r="E61" s="24" t="s">
        <v>637</v>
      </c>
      <c r="F61" s="25" t="s">
        <v>1148</v>
      </c>
      <c r="G61" s="26">
        <v>1056</v>
      </c>
      <c r="H61" s="26">
        <v>737.4</v>
      </c>
      <c r="I61" s="26">
        <f t="shared" si="0"/>
        <v>69.82954545454545</v>
      </c>
      <c r="J61" s="180">
        <f>SUM('[1]ведомствен.2012'!G223)</f>
        <v>1056</v>
      </c>
      <c r="M61" s="180" t="e">
        <f>SUM(#REF!)</f>
        <v>#REF!</v>
      </c>
    </row>
    <row r="62" spans="1:10" ht="19.5" customHeight="1" hidden="1">
      <c r="A62" s="27" t="s">
        <v>638</v>
      </c>
      <c r="B62" s="23"/>
      <c r="C62" s="24" t="s">
        <v>1140</v>
      </c>
      <c r="D62" s="24" t="s">
        <v>1174</v>
      </c>
      <c r="E62" s="24" t="s">
        <v>639</v>
      </c>
      <c r="F62" s="25"/>
      <c r="G62" s="26">
        <f>SUM(G63)</f>
        <v>0</v>
      </c>
      <c r="H62" s="26">
        <f>SUM(H63)</f>
        <v>264.8</v>
      </c>
      <c r="I62" s="26" t="e">
        <f t="shared" si="0"/>
        <v>#DIV/0!</v>
      </c>
      <c r="J62"/>
    </row>
    <row r="63" spans="1:10" ht="18.75" customHeight="1" hidden="1">
      <c r="A63" s="27" t="s">
        <v>1147</v>
      </c>
      <c r="B63" s="23"/>
      <c r="C63" s="24" t="s">
        <v>1140</v>
      </c>
      <c r="D63" s="24" t="s">
        <v>1174</v>
      </c>
      <c r="E63" s="24" t="s">
        <v>639</v>
      </c>
      <c r="F63" s="25" t="s">
        <v>1148</v>
      </c>
      <c r="G63" s="26"/>
      <c r="H63" s="26">
        <v>264.8</v>
      </c>
      <c r="I63" s="26" t="e">
        <f t="shared" si="0"/>
        <v>#DIV/0!</v>
      </c>
      <c r="J63"/>
    </row>
    <row r="64" spans="1:10" ht="20.25" customHeight="1">
      <c r="A64" s="35" t="s">
        <v>1186</v>
      </c>
      <c r="B64" s="23"/>
      <c r="C64" s="24" t="s">
        <v>1140</v>
      </c>
      <c r="D64" s="24" t="s">
        <v>1174</v>
      </c>
      <c r="E64" s="24" t="s">
        <v>1187</v>
      </c>
      <c r="F64" s="28"/>
      <c r="G64" s="26">
        <f>SUM(G65)</f>
        <v>262</v>
      </c>
      <c r="H64" s="26">
        <f>SUM(H65)</f>
        <v>155.9</v>
      </c>
      <c r="I64" s="26">
        <f t="shared" si="0"/>
        <v>59.50381679389313</v>
      </c>
      <c r="J64"/>
    </row>
    <row r="65" spans="1:10" ht="20.25" customHeight="1">
      <c r="A65" s="27" t="s">
        <v>1147</v>
      </c>
      <c r="B65" s="23"/>
      <c r="C65" s="24" t="s">
        <v>1140</v>
      </c>
      <c r="D65" s="24" t="s">
        <v>1174</v>
      </c>
      <c r="E65" s="24" t="s">
        <v>1187</v>
      </c>
      <c r="F65" s="25" t="s">
        <v>1148</v>
      </c>
      <c r="G65" s="26">
        <f>SUM(G66:G67)</f>
        <v>262</v>
      </c>
      <c r="H65" s="26">
        <f>SUM(H66:H67)</f>
        <v>155.9</v>
      </c>
      <c r="I65" s="26">
        <f t="shared" si="0"/>
        <v>59.50381679389313</v>
      </c>
      <c r="J65"/>
    </row>
    <row r="66" spans="1:13" ht="29.25" customHeight="1">
      <c r="A66" s="35" t="s">
        <v>764</v>
      </c>
      <c r="B66" s="23"/>
      <c r="C66" s="24" t="s">
        <v>1140</v>
      </c>
      <c r="D66" s="24" t="s">
        <v>1174</v>
      </c>
      <c r="E66" s="24" t="s">
        <v>1188</v>
      </c>
      <c r="F66" s="25" t="s">
        <v>1148</v>
      </c>
      <c r="G66" s="26">
        <v>262</v>
      </c>
      <c r="H66" s="26">
        <v>155.9</v>
      </c>
      <c r="I66" s="26">
        <f t="shared" si="0"/>
        <v>59.50381679389313</v>
      </c>
      <c r="J66" s="180">
        <f>SUM('[1]ведомствен.2012'!G228)</f>
        <v>262</v>
      </c>
      <c r="M66" s="180" t="e">
        <f>SUM(#REF!)</f>
        <v>#REF!</v>
      </c>
    </row>
    <row r="67" spans="1:10" ht="20.25" customHeight="1" hidden="1">
      <c r="A67" s="35"/>
      <c r="B67" s="23"/>
      <c r="C67" s="24"/>
      <c r="D67" s="24"/>
      <c r="E67" s="24"/>
      <c r="F67" s="25"/>
      <c r="G67" s="26"/>
      <c r="H67" s="26"/>
      <c r="I67" s="26" t="e">
        <f t="shared" si="0"/>
        <v>#DIV/0!</v>
      </c>
      <c r="J67"/>
    </row>
    <row r="68" spans="1:10" ht="20.25" customHeight="1" hidden="1">
      <c r="A68" s="35"/>
      <c r="B68" s="23"/>
      <c r="C68" s="24"/>
      <c r="D68" s="24"/>
      <c r="E68" s="24"/>
      <c r="F68" s="25"/>
      <c r="G68" s="26"/>
      <c r="H68" s="26"/>
      <c r="I68" s="26" t="e">
        <f t="shared" si="0"/>
        <v>#DIV/0!</v>
      </c>
      <c r="J68"/>
    </row>
    <row r="69" spans="1:10" ht="19.5" customHeight="1">
      <c r="A69" s="27" t="s">
        <v>1189</v>
      </c>
      <c r="B69" s="23"/>
      <c r="C69" s="24" t="s">
        <v>1140</v>
      </c>
      <c r="D69" s="24" t="s">
        <v>1190</v>
      </c>
      <c r="E69" s="24"/>
      <c r="F69" s="28"/>
      <c r="G69" s="26">
        <f>SUM(G70)</f>
        <v>27</v>
      </c>
      <c r="H69" s="26">
        <f>SUM(H70)</f>
        <v>0</v>
      </c>
      <c r="I69" s="26">
        <f t="shared" si="0"/>
        <v>0</v>
      </c>
      <c r="J69"/>
    </row>
    <row r="70" spans="1:10" ht="41.25" customHeight="1">
      <c r="A70" s="38" t="s">
        <v>154</v>
      </c>
      <c r="B70" s="23"/>
      <c r="C70" s="24" t="s">
        <v>1140</v>
      </c>
      <c r="D70" s="24" t="s">
        <v>1190</v>
      </c>
      <c r="E70" s="24" t="s">
        <v>640</v>
      </c>
      <c r="F70" s="28"/>
      <c r="G70" s="26">
        <f>SUM(G71)</f>
        <v>27</v>
      </c>
      <c r="H70" s="26">
        <f>SUM(H71)</f>
        <v>0</v>
      </c>
      <c r="I70" s="26">
        <f t="shared" si="0"/>
        <v>0</v>
      </c>
      <c r="J70"/>
    </row>
    <row r="71" spans="1:13" ht="21.75" customHeight="1">
      <c r="A71" s="27" t="s">
        <v>1147</v>
      </c>
      <c r="B71" s="23"/>
      <c r="C71" s="24" t="s">
        <v>1140</v>
      </c>
      <c r="D71" s="24" t="s">
        <v>1190</v>
      </c>
      <c r="E71" s="24" t="s">
        <v>640</v>
      </c>
      <c r="F71" s="25" t="s">
        <v>1148</v>
      </c>
      <c r="G71" s="26">
        <v>27</v>
      </c>
      <c r="H71" s="26">
        <f>SUM('[2]Ведомств.'!G83)</f>
        <v>0</v>
      </c>
      <c r="I71" s="26">
        <f t="shared" si="0"/>
        <v>0</v>
      </c>
      <c r="J71" s="180">
        <f>SUM('[1]ведомствен.2012'!G231)</f>
        <v>27</v>
      </c>
      <c r="M71" s="180" t="e">
        <f>SUM(#REF!)</f>
        <v>#REF!</v>
      </c>
    </row>
    <row r="72" spans="1:9" s="31" customFormat="1" ht="42.75">
      <c r="A72" s="35" t="s">
        <v>641</v>
      </c>
      <c r="B72" s="23"/>
      <c r="C72" s="24" t="s">
        <v>1140</v>
      </c>
      <c r="D72" s="24" t="s">
        <v>642</v>
      </c>
      <c r="E72" s="24"/>
      <c r="F72" s="25"/>
      <c r="G72" s="26">
        <f>SUM(G73)</f>
        <v>25402.3</v>
      </c>
      <c r="H72" s="26">
        <f>SUM(H73)</f>
        <v>12415.9</v>
      </c>
      <c r="I72" s="26">
        <f t="shared" si="0"/>
        <v>48.87707018655791</v>
      </c>
    </row>
    <row r="73" spans="1:9" s="31" customFormat="1" ht="46.5" customHeight="1">
      <c r="A73" s="35" t="s">
        <v>1143</v>
      </c>
      <c r="B73" s="23"/>
      <c r="C73" s="24" t="s">
        <v>1140</v>
      </c>
      <c r="D73" s="24" t="s">
        <v>642</v>
      </c>
      <c r="E73" s="24" t="s">
        <v>1144</v>
      </c>
      <c r="F73" s="25"/>
      <c r="G73" s="26">
        <f>SUM(G74+G78)</f>
        <v>25402.3</v>
      </c>
      <c r="H73" s="26">
        <f>SUM(H74+H78)</f>
        <v>12415.9</v>
      </c>
      <c r="I73" s="26">
        <f t="shared" si="0"/>
        <v>48.87707018655791</v>
      </c>
    </row>
    <row r="74" spans="1:9" s="31" customFormat="1" ht="15" customHeight="1">
      <c r="A74" s="35" t="s">
        <v>1151</v>
      </c>
      <c r="B74" s="23"/>
      <c r="C74" s="24" t="s">
        <v>1140</v>
      </c>
      <c r="D74" s="24" t="s">
        <v>642</v>
      </c>
      <c r="E74" s="24" t="s">
        <v>1153</v>
      </c>
      <c r="F74" s="25"/>
      <c r="G74" s="26">
        <f>SUM(G75+G76)</f>
        <v>23857.3</v>
      </c>
      <c r="H74" s="26">
        <f>SUM(H75+H76)</f>
        <v>11864.3</v>
      </c>
      <c r="I74" s="26">
        <f t="shared" si="0"/>
        <v>49.73027123773436</v>
      </c>
    </row>
    <row r="75" spans="1:13" s="31" customFormat="1" ht="14.25" customHeight="1">
      <c r="A75" s="27" t="s">
        <v>1147</v>
      </c>
      <c r="B75" s="23"/>
      <c r="C75" s="24" t="s">
        <v>1152</v>
      </c>
      <c r="D75" s="24" t="s">
        <v>642</v>
      </c>
      <c r="E75" s="24" t="s">
        <v>1153</v>
      </c>
      <c r="F75" s="29" t="s">
        <v>1148</v>
      </c>
      <c r="G75" s="26">
        <v>8517.9</v>
      </c>
      <c r="H75" s="26">
        <v>2278</v>
      </c>
      <c r="I75" s="26">
        <f t="shared" si="0"/>
        <v>26.743680954225805</v>
      </c>
      <c r="J75" s="181">
        <f>SUM('[1]ведомствен.2012'!G42+'[1]ведомствен.2012'!G593)+'[1]ведомствен.2012'!G638</f>
        <v>8517.9</v>
      </c>
      <c r="M75" s="181" t="e">
        <f>SUM(#REF!+#REF!)</f>
        <v>#REF!</v>
      </c>
    </row>
    <row r="76" spans="1:10" ht="28.5">
      <c r="A76" s="27" t="s">
        <v>643</v>
      </c>
      <c r="B76" s="23"/>
      <c r="C76" s="24" t="s">
        <v>1152</v>
      </c>
      <c r="D76" s="24" t="s">
        <v>642</v>
      </c>
      <c r="E76" s="24" t="s">
        <v>644</v>
      </c>
      <c r="F76" s="25"/>
      <c r="G76" s="26">
        <f>SUM(G77)</f>
        <v>15339.4</v>
      </c>
      <c r="H76" s="26">
        <f>SUM(H77)</f>
        <v>9586.3</v>
      </c>
      <c r="I76" s="26">
        <f t="shared" si="0"/>
        <v>62.49462169315618</v>
      </c>
      <c r="J76"/>
    </row>
    <row r="77" spans="1:13" s="39" customFormat="1" ht="15">
      <c r="A77" s="27" t="s">
        <v>1147</v>
      </c>
      <c r="B77" s="23"/>
      <c r="C77" s="24" t="s">
        <v>1152</v>
      </c>
      <c r="D77" s="24" t="s">
        <v>642</v>
      </c>
      <c r="E77" s="24" t="s">
        <v>644</v>
      </c>
      <c r="F77" s="29" t="s">
        <v>1148</v>
      </c>
      <c r="G77" s="26">
        <v>15339.4</v>
      </c>
      <c r="H77" s="26">
        <v>9586.3</v>
      </c>
      <c r="I77" s="26">
        <f t="shared" si="0"/>
        <v>62.49462169315618</v>
      </c>
      <c r="J77" s="181">
        <f>SUM('[1]ведомствен.2012'!G595)</f>
        <v>15339.4</v>
      </c>
      <c r="M77" s="181" t="e">
        <f>SUM(#REF!)</f>
        <v>#REF!</v>
      </c>
    </row>
    <row r="78" spans="1:10" ht="28.5">
      <c r="A78" s="35" t="s">
        <v>645</v>
      </c>
      <c r="B78" s="23"/>
      <c r="C78" s="24" t="s">
        <v>1152</v>
      </c>
      <c r="D78" s="24" t="s">
        <v>642</v>
      </c>
      <c r="E78" s="24" t="s">
        <v>646</v>
      </c>
      <c r="F78" s="29"/>
      <c r="G78" s="26">
        <f>SUM(G79)</f>
        <v>1545</v>
      </c>
      <c r="H78" s="26">
        <f>SUM(H79)</f>
        <v>551.6</v>
      </c>
      <c r="I78" s="26">
        <f t="shared" si="0"/>
        <v>35.702265372168284</v>
      </c>
      <c r="J78"/>
    </row>
    <row r="79" spans="1:13" ht="14.25" customHeight="1">
      <c r="A79" s="27" t="s">
        <v>1147</v>
      </c>
      <c r="B79" s="23"/>
      <c r="C79" s="24" t="s">
        <v>1152</v>
      </c>
      <c r="D79" s="24" t="s">
        <v>642</v>
      </c>
      <c r="E79" s="24" t="s">
        <v>646</v>
      </c>
      <c r="F79" s="25" t="s">
        <v>1148</v>
      </c>
      <c r="G79" s="26">
        <v>1545</v>
      </c>
      <c r="H79" s="26">
        <v>551.6</v>
      </c>
      <c r="I79" s="26">
        <f aca="true" t="shared" si="4" ref="I79:I142">SUM(H79/G79*100)</f>
        <v>35.702265372168284</v>
      </c>
      <c r="J79" s="180">
        <f>SUM('[1]ведомствен.2012'!G44)</f>
        <v>1545</v>
      </c>
      <c r="M79" s="180" t="e">
        <f>SUM(#REF!)</f>
        <v>#REF!</v>
      </c>
    </row>
    <row r="80" spans="1:10" ht="14.25" customHeight="1">
      <c r="A80" s="40" t="s">
        <v>647</v>
      </c>
      <c r="B80" s="36"/>
      <c r="C80" s="37" t="s">
        <v>1140</v>
      </c>
      <c r="D80" s="37" t="s">
        <v>1163</v>
      </c>
      <c r="E80" s="37"/>
      <c r="F80" s="28"/>
      <c r="G80" s="26">
        <f>SUM(G81)</f>
        <v>411.2</v>
      </c>
      <c r="H80" s="26">
        <f>SUM(H81)</f>
        <v>4219.8</v>
      </c>
      <c r="I80" s="26">
        <f t="shared" si="4"/>
        <v>1026.215953307393</v>
      </c>
      <c r="J80"/>
    </row>
    <row r="81" spans="1:10" ht="14.25" customHeight="1">
      <c r="A81" s="40" t="s">
        <v>647</v>
      </c>
      <c r="B81" s="36"/>
      <c r="C81" s="37" t="s">
        <v>1140</v>
      </c>
      <c r="D81" s="37" t="s">
        <v>1163</v>
      </c>
      <c r="E81" s="37" t="s">
        <v>648</v>
      </c>
      <c r="F81" s="28"/>
      <c r="G81" s="26">
        <f>SUM(G82+G84)</f>
        <v>411.2</v>
      </c>
      <c r="H81" s="26">
        <f>SUM(H82+H84)</f>
        <v>4219.8</v>
      </c>
      <c r="I81" s="26">
        <f t="shared" si="4"/>
        <v>1026.215953307393</v>
      </c>
      <c r="J81"/>
    </row>
    <row r="82" spans="1:10" ht="28.5" customHeight="1">
      <c r="A82" s="35" t="s">
        <v>649</v>
      </c>
      <c r="B82" s="36"/>
      <c r="C82" s="37" t="s">
        <v>1140</v>
      </c>
      <c r="D82" s="37" t="s">
        <v>1163</v>
      </c>
      <c r="E82" s="37" t="s">
        <v>650</v>
      </c>
      <c r="F82" s="28"/>
      <c r="G82" s="26">
        <f>SUM(G83:G83)</f>
        <v>411.2</v>
      </c>
      <c r="H82" s="26">
        <f>SUM(H83:H83)</f>
        <v>2142.4</v>
      </c>
      <c r="I82" s="26">
        <f t="shared" si="4"/>
        <v>521.011673151751</v>
      </c>
      <c r="J82"/>
    </row>
    <row r="83" spans="1:10" ht="15" customHeight="1">
      <c r="A83" s="27" t="s">
        <v>1147</v>
      </c>
      <c r="B83" s="36"/>
      <c r="C83" s="37" t="s">
        <v>1140</v>
      </c>
      <c r="D83" s="37" t="s">
        <v>1163</v>
      </c>
      <c r="E83" s="37" t="s">
        <v>650</v>
      </c>
      <c r="F83" s="28" t="s">
        <v>1148</v>
      </c>
      <c r="G83" s="26">
        <f>361+50.2</f>
        <v>411.2</v>
      </c>
      <c r="H83" s="26">
        <v>2142.4</v>
      </c>
      <c r="I83" s="26">
        <f t="shared" si="4"/>
        <v>521.011673151751</v>
      </c>
      <c r="J83">
        <f>SUM('[1]ведомствен.2012'!G239)</f>
        <v>411.2</v>
      </c>
    </row>
    <row r="84" spans="1:10" ht="15" hidden="1">
      <c r="A84" s="27" t="s">
        <v>651</v>
      </c>
      <c r="B84" s="36"/>
      <c r="C84" s="37" t="s">
        <v>1140</v>
      </c>
      <c r="D84" s="37" t="s">
        <v>1163</v>
      </c>
      <c r="E84" s="37" t="s">
        <v>652</v>
      </c>
      <c r="F84" s="28"/>
      <c r="G84" s="26">
        <f>SUM(G85)</f>
        <v>0</v>
      </c>
      <c r="H84" s="26">
        <f>SUM(H85)</f>
        <v>2077.4</v>
      </c>
      <c r="I84" s="26" t="e">
        <f t="shared" si="4"/>
        <v>#DIV/0!</v>
      </c>
      <c r="J84"/>
    </row>
    <row r="85" spans="1:10" ht="15" hidden="1">
      <c r="A85" s="27" t="s">
        <v>1147</v>
      </c>
      <c r="B85" s="36"/>
      <c r="C85" s="37" t="s">
        <v>1140</v>
      </c>
      <c r="D85" s="37" t="s">
        <v>1163</v>
      </c>
      <c r="E85" s="37" t="s">
        <v>652</v>
      </c>
      <c r="F85" s="28" t="s">
        <v>1148</v>
      </c>
      <c r="G85" s="26"/>
      <c r="H85" s="26">
        <v>2077.4</v>
      </c>
      <c r="I85" s="26" t="e">
        <f t="shared" si="4"/>
        <v>#DIV/0!</v>
      </c>
      <c r="J85"/>
    </row>
    <row r="86" spans="1:10" ht="15" hidden="1">
      <c r="A86" s="27" t="s">
        <v>653</v>
      </c>
      <c r="B86" s="23"/>
      <c r="C86" s="24" t="s">
        <v>1140</v>
      </c>
      <c r="D86" s="24" t="s">
        <v>36</v>
      </c>
      <c r="E86" s="24"/>
      <c r="F86" s="29"/>
      <c r="G86" s="26">
        <f>SUM(G87)</f>
        <v>0</v>
      </c>
      <c r="H86" s="26">
        <f>SUM(H87)</f>
        <v>5048</v>
      </c>
      <c r="I86" s="26" t="e">
        <f t="shared" si="4"/>
        <v>#DIV/0!</v>
      </c>
      <c r="J86"/>
    </row>
    <row r="87" spans="1:10" ht="15" hidden="1">
      <c r="A87" s="27" t="s">
        <v>654</v>
      </c>
      <c r="B87" s="23"/>
      <c r="C87" s="24" t="s">
        <v>1140</v>
      </c>
      <c r="D87" s="24" t="s">
        <v>36</v>
      </c>
      <c r="E87" s="24" t="s">
        <v>655</v>
      </c>
      <c r="F87" s="29"/>
      <c r="G87" s="26">
        <f>SUM(G89)</f>
        <v>0</v>
      </c>
      <c r="H87" s="26">
        <f>SUM(H89)</f>
        <v>5048</v>
      </c>
      <c r="I87" s="26" t="e">
        <f t="shared" si="4"/>
        <v>#DIV/0!</v>
      </c>
      <c r="J87"/>
    </row>
    <row r="88" spans="1:10" ht="15" hidden="1">
      <c r="A88" s="27" t="s">
        <v>656</v>
      </c>
      <c r="B88" s="23"/>
      <c r="C88" s="24" t="s">
        <v>1140</v>
      </c>
      <c r="D88" s="24" t="s">
        <v>36</v>
      </c>
      <c r="E88" s="24" t="s">
        <v>657</v>
      </c>
      <c r="F88" s="29"/>
      <c r="G88" s="26">
        <f>SUM(G89)</f>
        <v>0</v>
      </c>
      <c r="H88" s="26">
        <f>SUM(H89)</f>
        <v>5048</v>
      </c>
      <c r="I88" s="26" t="e">
        <f t="shared" si="4"/>
        <v>#DIV/0!</v>
      </c>
      <c r="J88"/>
    </row>
    <row r="89" spans="1:10" ht="15" hidden="1">
      <c r="A89" s="27" t="s">
        <v>658</v>
      </c>
      <c r="B89" s="23"/>
      <c r="C89" s="24" t="s">
        <v>1140</v>
      </c>
      <c r="D89" s="24" t="s">
        <v>36</v>
      </c>
      <c r="E89" s="24" t="s">
        <v>657</v>
      </c>
      <c r="F89" s="29" t="s">
        <v>659</v>
      </c>
      <c r="G89" s="26"/>
      <c r="H89" s="26">
        <v>5048</v>
      </c>
      <c r="I89" s="26" t="e">
        <f t="shared" si="4"/>
        <v>#DIV/0!</v>
      </c>
      <c r="J89"/>
    </row>
    <row r="90" spans="1:9" s="31" customFormat="1" ht="15">
      <c r="A90" s="35" t="s">
        <v>660</v>
      </c>
      <c r="B90" s="23"/>
      <c r="C90" s="24" t="s">
        <v>1140</v>
      </c>
      <c r="D90" s="24" t="s">
        <v>36</v>
      </c>
      <c r="E90" s="24"/>
      <c r="F90" s="25"/>
      <c r="G90" s="26">
        <f>SUM(G91)</f>
        <v>3742.6</v>
      </c>
      <c r="H90" s="26">
        <f>SUM(H91)</f>
        <v>0</v>
      </c>
      <c r="I90" s="26">
        <f t="shared" si="4"/>
        <v>0</v>
      </c>
    </row>
    <row r="91" spans="1:9" s="31" customFormat="1" ht="15">
      <c r="A91" s="35" t="s">
        <v>660</v>
      </c>
      <c r="B91" s="23"/>
      <c r="C91" s="24" t="s">
        <v>1140</v>
      </c>
      <c r="D91" s="24" t="s">
        <v>36</v>
      </c>
      <c r="E91" s="24" t="s">
        <v>662</v>
      </c>
      <c r="F91" s="25"/>
      <c r="G91" s="26">
        <f>SUM(G93)</f>
        <v>3742.6</v>
      </c>
      <c r="H91" s="26">
        <f>SUM(H93)</f>
        <v>0</v>
      </c>
      <c r="I91" s="26">
        <f t="shared" si="4"/>
        <v>0</v>
      </c>
    </row>
    <row r="92" spans="1:9" s="31" customFormat="1" ht="15">
      <c r="A92" s="35" t="s">
        <v>638</v>
      </c>
      <c r="B92" s="23"/>
      <c r="C92" s="24" t="s">
        <v>1140</v>
      </c>
      <c r="D92" s="24" t="s">
        <v>36</v>
      </c>
      <c r="E92" s="24" t="s">
        <v>639</v>
      </c>
      <c r="F92" s="25"/>
      <c r="G92" s="26">
        <f>SUM(G93)</f>
        <v>3742.6</v>
      </c>
      <c r="H92" s="26">
        <f>SUM(H93)</f>
        <v>0</v>
      </c>
      <c r="I92" s="26">
        <f t="shared" si="4"/>
        <v>0</v>
      </c>
    </row>
    <row r="93" spans="1:13" s="31" customFormat="1" ht="15.75" customHeight="1">
      <c r="A93" s="262" t="s">
        <v>663</v>
      </c>
      <c r="B93" s="36"/>
      <c r="C93" s="24" t="s">
        <v>1140</v>
      </c>
      <c r="D93" s="24" t="s">
        <v>36</v>
      </c>
      <c r="E93" s="24" t="s">
        <v>639</v>
      </c>
      <c r="F93" s="28" t="s">
        <v>659</v>
      </c>
      <c r="G93" s="26">
        <v>3742.6</v>
      </c>
      <c r="H93" s="26"/>
      <c r="I93" s="26">
        <f t="shared" si="4"/>
        <v>0</v>
      </c>
      <c r="J93" s="180">
        <f>SUM('[1]ведомствен.2012'!G602)</f>
        <v>3742.6</v>
      </c>
      <c r="M93" s="180" t="e">
        <f>SUM(#REF!)</f>
        <v>#REF!</v>
      </c>
    </row>
    <row r="94" spans="1:10" ht="14.25" customHeight="1">
      <c r="A94" s="27" t="s">
        <v>1156</v>
      </c>
      <c r="B94" s="23"/>
      <c r="C94" s="24" t="s">
        <v>1140</v>
      </c>
      <c r="D94" s="24" t="s">
        <v>111</v>
      </c>
      <c r="E94" s="24"/>
      <c r="F94" s="28"/>
      <c r="G94" s="26">
        <f>SUM(G95+G108+G111+G114+G117+G133+G100+G105)+G131</f>
        <v>11590.900000000001</v>
      </c>
      <c r="H94" s="26">
        <f>SUM(H95+H108+H111+H114+H117+H133+H100+H105)</f>
        <v>7427.299999999999</v>
      </c>
      <c r="I94" s="26">
        <f t="shared" si="4"/>
        <v>64.07871692448384</v>
      </c>
      <c r="J94"/>
    </row>
    <row r="95" spans="1:10" ht="21" customHeight="1" hidden="1">
      <c r="A95" s="35" t="s">
        <v>665</v>
      </c>
      <c r="B95" s="23"/>
      <c r="C95" s="24" t="s">
        <v>1140</v>
      </c>
      <c r="D95" s="24" t="s">
        <v>111</v>
      </c>
      <c r="E95" s="24" t="s">
        <v>666</v>
      </c>
      <c r="F95" s="25"/>
      <c r="G95" s="26">
        <f>SUM(G96+G98)</f>
        <v>0</v>
      </c>
      <c r="H95" s="26">
        <f>SUM(H96+H98)</f>
        <v>2749.5</v>
      </c>
      <c r="I95" s="26" t="e">
        <f t="shared" si="4"/>
        <v>#DIV/0!</v>
      </c>
      <c r="J95"/>
    </row>
    <row r="96" spans="1:10" ht="27.75" customHeight="1" hidden="1">
      <c r="A96" s="35" t="s">
        <v>135</v>
      </c>
      <c r="B96" s="23"/>
      <c r="C96" s="24" t="s">
        <v>1140</v>
      </c>
      <c r="D96" s="24" t="s">
        <v>111</v>
      </c>
      <c r="E96" s="24" t="s">
        <v>136</v>
      </c>
      <c r="F96" s="25"/>
      <c r="G96" s="26">
        <f>SUM(G97)</f>
        <v>0</v>
      </c>
      <c r="H96" s="26">
        <f>SUM(H97)</f>
        <v>2749.5</v>
      </c>
      <c r="I96" s="26" t="e">
        <f t="shared" si="4"/>
        <v>#DIV/0!</v>
      </c>
      <c r="J96"/>
    </row>
    <row r="97" spans="1:13" ht="18.75" customHeight="1" hidden="1">
      <c r="A97" s="27" t="s">
        <v>1147</v>
      </c>
      <c r="B97" s="23"/>
      <c r="C97" s="24" t="s">
        <v>1140</v>
      </c>
      <c r="D97" s="24" t="s">
        <v>111</v>
      </c>
      <c r="E97" s="24" t="s">
        <v>136</v>
      </c>
      <c r="F97" s="25" t="s">
        <v>1148</v>
      </c>
      <c r="G97" s="26"/>
      <c r="H97" s="26">
        <v>2749.5</v>
      </c>
      <c r="I97" s="26" t="e">
        <f t="shared" si="4"/>
        <v>#DIV/0!</v>
      </c>
      <c r="M97" s="180" t="e">
        <f>SUM(#REF!)</f>
        <v>#REF!</v>
      </c>
    </row>
    <row r="98" spans="1:10" ht="27" customHeight="1" hidden="1">
      <c r="A98" s="27" t="s">
        <v>137</v>
      </c>
      <c r="B98" s="23"/>
      <c r="C98" s="24" t="s">
        <v>1140</v>
      </c>
      <c r="D98" s="24" t="s">
        <v>111</v>
      </c>
      <c r="E98" s="24" t="s">
        <v>138</v>
      </c>
      <c r="F98" s="25"/>
      <c r="G98" s="26">
        <f>SUM(G99)</f>
        <v>0</v>
      </c>
      <c r="H98" s="26">
        <f>SUM(H99)</f>
        <v>0</v>
      </c>
      <c r="I98" s="26" t="e">
        <f t="shared" si="4"/>
        <v>#DIV/0!</v>
      </c>
      <c r="J98"/>
    </row>
    <row r="99" spans="1:13" ht="18.75" customHeight="1" hidden="1">
      <c r="A99" s="27" t="s">
        <v>1147</v>
      </c>
      <c r="B99" s="23"/>
      <c r="C99" s="24" t="s">
        <v>1140</v>
      </c>
      <c r="D99" s="24" t="s">
        <v>111</v>
      </c>
      <c r="E99" s="24" t="s">
        <v>138</v>
      </c>
      <c r="F99" s="25" t="s">
        <v>1148</v>
      </c>
      <c r="G99" s="26"/>
      <c r="H99" s="26"/>
      <c r="I99" s="26" t="e">
        <f t="shared" si="4"/>
        <v>#DIV/0!</v>
      </c>
      <c r="M99" s="180" t="e">
        <f>SUM(#REF!)</f>
        <v>#REF!</v>
      </c>
    </row>
    <row r="100" spans="1:10" ht="44.25" customHeight="1" hidden="1">
      <c r="A100" s="35" t="s">
        <v>1143</v>
      </c>
      <c r="B100" s="23"/>
      <c r="C100" s="24" t="s">
        <v>1140</v>
      </c>
      <c r="D100" s="24" t="s">
        <v>111</v>
      </c>
      <c r="E100" s="24" t="s">
        <v>1144</v>
      </c>
      <c r="F100" s="25"/>
      <c r="G100" s="26">
        <f>SUM(G103+G102)</f>
        <v>0</v>
      </c>
      <c r="H100" s="26">
        <f>SUM(H103+H102)</f>
        <v>836.4</v>
      </c>
      <c r="I100" s="26" t="e">
        <f t="shared" si="4"/>
        <v>#DIV/0!</v>
      </c>
      <c r="J100"/>
    </row>
    <row r="101" spans="1:10" ht="18.75" customHeight="1" hidden="1">
      <c r="A101" s="35" t="s">
        <v>1151</v>
      </c>
      <c r="B101" s="23"/>
      <c r="C101" s="24" t="s">
        <v>1140</v>
      </c>
      <c r="D101" s="24" t="s">
        <v>111</v>
      </c>
      <c r="E101" s="24" t="s">
        <v>1153</v>
      </c>
      <c r="F101" s="25"/>
      <c r="G101" s="26">
        <f>SUM(G102)</f>
        <v>0</v>
      </c>
      <c r="H101" s="26">
        <f>SUM(H102)</f>
        <v>0</v>
      </c>
      <c r="I101" s="26" t="e">
        <f t="shared" si="4"/>
        <v>#DIV/0!</v>
      </c>
      <c r="J101"/>
    </row>
    <row r="102" spans="1:10" ht="22.5" customHeight="1" hidden="1">
      <c r="A102" s="27" t="s">
        <v>1147</v>
      </c>
      <c r="B102" s="23"/>
      <c r="C102" s="24" t="s">
        <v>1140</v>
      </c>
      <c r="D102" s="24" t="s">
        <v>111</v>
      </c>
      <c r="E102" s="24" t="s">
        <v>1153</v>
      </c>
      <c r="F102" s="29" t="s">
        <v>1148</v>
      </c>
      <c r="G102" s="26"/>
      <c r="H102" s="26"/>
      <c r="I102" s="26" t="e">
        <f t="shared" si="4"/>
        <v>#DIV/0!</v>
      </c>
      <c r="J102"/>
    </row>
    <row r="103" spans="1:10" ht="18" customHeight="1" hidden="1">
      <c r="A103" s="27" t="s">
        <v>139</v>
      </c>
      <c r="B103" s="23"/>
      <c r="C103" s="24" t="s">
        <v>1140</v>
      </c>
      <c r="D103" s="24" t="s">
        <v>111</v>
      </c>
      <c r="E103" s="24" t="s">
        <v>140</v>
      </c>
      <c r="F103" s="28"/>
      <c r="G103" s="26">
        <f>SUM(G104)</f>
        <v>0</v>
      </c>
      <c r="H103" s="26">
        <f>SUM(H104)</f>
        <v>836.4</v>
      </c>
      <c r="I103" s="26" t="e">
        <f t="shared" si="4"/>
        <v>#DIV/0!</v>
      </c>
      <c r="J103"/>
    </row>
    <row r="104" spans="1:10" ht="17.25" customHeight="1" hidden="1">
      <c r="A104" s="41" t="s">
        <v>141</v>
      </c>
      <c r="B104" s="23"/>
      <c r="C104" s="24" t="s">
        <v>1140</v>
      </c>
      <c r="D104" s="24" t="s">
        <v>111</v>
      </c>
      <c r="E104" s="24" t="s">
        <v>140</v>
      </c>
      <c r="F104" s="28" t="s">
        <v>142</v>
      </c>
      <c r="G104" s="26"/>
      <c r="H104" s="26">
        <v>836.4</v>
      </c>
      <c r="I104" s="26" t="e">
        <f t="shared" si="4"/>
        <v>#DIV/0!</v>
      </c>
      <c r="J104"/>
    </row>
    <row r="105" spans="1:10" ht="21.75" customHeight="1" hidden="1">
      <c r="A105" s="35" t="s">
        <v>660</v>
      </c>
      <c r="B105" s="23"/>
      <c r="C105" s="24" t="s">
        <v>1140</v>
      </c>
      <c r="D105" s="24" t="s">
        <v>111</v>
      </c>
      <c r="E105" s="24" t="s">
        <v>662</v>
      </c>
      <c r="F105" s="25"/>
      <c r="G105" s="26">
        <f>SUM(G107)</f>
        <v>0</v>
      </c>
      <c r="H105" s="26">
        <f>SUM(H107)</f>
        <v>536.9</v>
      </c>
      <c r="I105" s="26" t="e">
        <f t="shared" si="4"/>
        <v>#DIV/0!</v>
      </c>
      <c r="J105"/>
    </row>
    <row r="106" spans="1:10" ht="22.5" customHeight="1" hidden="1">
      <c r="A106" s="35" t="s">
        <v>638</v>
      </c>
      <c r="B106" s="23"/>
      <c r="C106" s="24" t="s">
        <v>1140</v>
      </c>
      <c r="D106" s="24" t="s">
        <v>111</v>
      </c>
      <c r="E106" s="24" t="s">
        <v>639</v>
      </c>
      <c r="F106" s="25"/>
      <c r="G106" s="26">
        <f>SUM(G107)</f>
        <v>0</v>
      </c>
      <c r="H106" s="26">
        <f>SUM(H107)</f>
        <v>536.9</v>
      </c>
      <c r="I106" s="26" t="e">
        <f t="shared" si="4"/>
        <v>#DIV/0!</v>
      </c>
      <c r="J106"/>
    </row>
    <row r="107" spans="1:10" ht="25.5" customHeight="1" hidden="1">
      <c r="A107" s="27" t="s">
        <v>1147</v>
      </c>
      <c r="B107" s="23"/>
      <c r="C107" s="24" t="s">
        <v>1140</v>
      </c>
      <c r="D107" s="24" t="s">
        <v>111</v>
      </c>
      <c r="E107" s="24" t="s">
        <v>639</v>
      </c>
      <c r="F107" s="25" t="s">
        <v>1148</v>
      </c>
      <c r="G107" s="26"/>
      <c r="H107" s="26">
        <f>423.2+113.7</f>
        <v>536.9</v>
      </c>
      <c r="I107" s="26" t="e">
        <f t="shared" si="4"/>
        <v>#DIV/0!</v>
      </c>
      <c r="J107"/>
    </row>
    <row r="108" spans="1:10" ht="42.75">
      <c r="A108" s="38" t="s">
        <v>143</v>
      </c>
      <c r="B108" s="23"/>
      <c r="C108" s="24" t="s">
        <v>1140</v>
      </c>
      <c r="D108" s="24" t="s">
        <v>111</v>
      </c>
      <c r="E108" s="24" t="s">
        <v>1170</v>
      </c>
      <c r="F108" s="25"/>
      <c r="G108" s="26">
        <f>SUM(G109)</f>
        <v>3540</v>
      </c>
      <c r="H108" s="26">
        <f>SUM(H109)</f>
        <v>917.7</v>
      </c>
      <c r="I108" s="26">
        <f t="shared" si="4"/>
        <v>25.923728813559322</v>
      </c>
      <c r="J108"/>
    </row>
    <row r="109" spans="1:10" ht="42.75">
      <c r="A109" s="38" t="s">
        <v>1171</v>
      </c>
      <c r="B109" s="23"/>
      <c r="C109" s="24" t="s">
        <v>1140</v>
      </c>
      <c r="D109" s="24" t="s">
        <v>111</v>
      </c>
      <c r="E109" s="24" t="s">
        <v>144</v>
      </c>
      <c r="F109" s="25"/>
      <c r="G109" s="26">
        <f>SUM(G110)</f>
        <v>3540</v>
      </c>
      <c r="H109" s="26">
        <f>SUM(H110)</f>
        <v>917.7</v>
      </c>
      <c r="I109" s="26">
        <f t="shared" si="4"/>
        <v>25.923728813559322</v>
      </c>
      <c r="J109"/>
    </row>
    <row r="110" spans="1:13" ht="15">
      <c r="A110" s="27" t="s">
        <v>1147</v>
      </c>
      <c r="B110" s="23"/>
      <c r="C110" s="24" t="s">
        <v>1140</v>
      </c>
      <c r="D110" s="24" t="s">
        <v>111</v>
      </c>
      <c r="E110" s="24" t="s">
        <v>144</v>
      </c>
      <c r="F110" s="25" t="s">
        <v>1148</v>
      </c>
      <c r="G110" s="26">
        <v>3540</v>
      </c>
      <c r="H110" s="26">
        <v>917.7</v>
      </c>
      <c r="I110" s="26">
        <f t="shared" si="4"/>
        <v>25.923728813559322</v>
      </c>
      <c r="J110" s="180">
        <f>SUM('[1]ведомствен.2012'!G873)</f>
        <v>3540</v>
      </c>
      <c r="M110" s="180" t="e">
        <f>SUM(#REF!)+#REF!</f>
        <v>#REF!</v>
      </c>
    </row>
    <row r="111" spans="1:10" ht="28.5">
      <c r="A111" s="27" t="s">
        <v>1158</v>
      </c>
      <c r="B111" s="23"/>
      <c r="C111" s="24" t="s">
        <v>1140</v>
      </c>
      <c r="D111" s="24" t="s">
        <v>111</v>
      </c>
      <c r="E111" s="24" t="s">
        <v>1159</v>
      </c>
      <c r="F111" s="29"/>
      <c r="G111" s="26">
        <f>SUM(G112)</f>
        <v>5656.400000000001</v>
      </c>
      <c r="H111" s="26">
        <f>SUM(H112)</f>
        <v>1069.4</v>
      </c>
      <c r="I111" s="26">
        <f t="shared" si="4"/>
        <v>18.9060179619546</v>
      </c>
      <c r="J111"/>
    </row>
    <row r="112" spans="1:10" ht="15">
      <c r="A112" s="27" t="s">
        <v>1160</v>
      </c>
      <c r="B112" s="23"/>
      <c r="C112" s="24" t="s">
        <v>1140</v>
      </c>
      <c r="D112" s="24" t="s">
        <v>111</v>
      </c>
      <c r="E112" s="24" t="s">
        <v>145</v>
      </c>
      <c r="F112" s="29"/>
      <c r="G112" s="26">
        <f>SUM(G113)</f>
        <v>5656.400000000001</v>
      </c>
      <c r="H112" s="26">
        <f>SUM(H113)</f>
        <v>1069.4</v>
      </c>
      <c r="I112" s="26">
        <f t="shared" si="4"/>
        <v>18.9060179619546</v>
      </c>
      <c r="J112"/>
    </row>
    <row r="113" spans="1:13" ht="15.75" customHeight="1">
      <c r="A113" s="27" t="s">
        <v>1147</v>
      </c>
      <c r="B113" s="23"/>
      <c r="C113" s="24" t="s">
        <v>1140</v>
      </c>
      <c r="D113" s="24" t="s">
        <v>111</v>
      </c>
      <c r="E113" s="24" t="s">
        <v>145</v>
      </c>
      <c r="F113" s="29" t="s">
        <v>1148</v>
      </c>
      <c r="G113" s="26">
        <f>5706.6-50.2</f>
        <v>5656.400000000001</v>
      </c>
      <c r="H113" s="26">
        <v>1069.4</v>
      </c>
      <c r="I113" s="26">
        <f t="shared" si="4"/>
        <v>18.9060179619546</v>
      </c>
      <c r="J113" s="180">
        <f>SUM('[1]ведомствен.2012'!G259+'[1]ведомствен.2012'!G26+'[1]ведомствен.2012'!G876)</f>
        <v>5656.400000000001</v>
      </c>
      <c r="M113" s="180" t="e">
        <f>SUM(#REF!+#REF!+#REF!+#REF!)</f>
        <v>#REF!</v>
      </c>
    </row>
    <row r="114" spans="1:10" ht="31.5" customHeight="1" hidden="1">
      <c r="A114" s="262" t="s">
        <v>146</v>
      </c>
      <c r="B114" s="23"/>
      <c r="C114" s="24" t="s">
        <v>1140</v>
      </c>
      <c r="D114" s="24" t="s">
        <v>111</v>
      </c>
      <c r="E114" s="24" t="s">
        <v>1071</v>
      </c>
      <c r="F114" s="25"/>
      <c r="G114" s="26">
        <f>SUM(G116)</f>
        <v>0</v>
      </c>
      <c r="H114" s="26">
        <f>SUM(H116)</f>
        <v>0</v>
      </c>
      <c r="I114" s="26" t="e">
        <f t="shared" si="4"/>
        <v>#DIV/0!</v>
      </c>
      <c r="J114"/>
    </row>
    <row r="115" spans="1:10" ht="31.5" customHeight="1" hidden="1">
      <c r="A115" s="262" t="s">
        <v>196</v>
      </c>
      <c r="B115" s="23"/>
      <c r="C115" s="24" t="s">
        <v>1140</v>
      </c>
      <c r="D115" s="24" t="s">
        <v>111</v>
      </c>
      <c r="E115" s="24" t="s">
        <v>197</v>
      </c>
      <c r="F115" s="25"/>
      <c r="G115" s="26">
        <f>SUM(G116)</f>
        <v>0</v>
      </c>
      <c r="H115" s="26">
        <f>SUM(H116)</f>
        <v>0</v>
      </c>
      <c r="I115" s="26" t="e">
        <f t="shared" si="4"/>
        <v>#DIV/0!</v>
      </c>
      <c r="J115"/>
    </row>
    <row r="116" spans="1:10" ht="18" customHeight="1" hidden="1">
      <c r="A116" s="262" t="s">
        <v>198</v>
      </c>
      <c r="B116" s="23"/>
      <c r="C116" s="24" t="s">
        <v>1140</v>
      </c>
      <c r="D116" s="24" t="s">
        <v>111</v>
      </c>
      <c r="E116" s="24" t="s">
        <v>197</v>
      </c>
      <c r="F116" s="25" t="s">
        <v>199</v>
      </c>
      <c r="G116" s="26"/>
      <c r="H116" s="26"/>
      <c r="I116" s="26" t="e">
        <f t="shared" si="4"/>
        <v>#DIV/0!</v>
      </c>
      <c r="J116"/>
    </row>
    <row r="117" spans="1:10" ht="31.5" customHeight="1">
      <c r="A117" s="281" t="s">
        <v>1178</v>
      </c>
      <c r="B117" s="23"/>
      <c r="C117" s="24" t="s">
        <v>1140</v>
      </c>
      <c r="D117" s="24" t="s">
        <v>111</v>
      </c>
      <c r="E117" s="37" t="s">
        <v>200</v>
      </c>
      <c r="F117" s="28"/>
      <c r="G117" s="26">
        <f>SUM(G120)+G118</f>
        <v>2394.5</v>
      </c>
      <c r="H117" s="26">
        <f>SUM(H120)</f>
        <v>1317.4</v>
      </c>
      <c r="I117" s="26">
        <f t="shared" si="4"/>
        <v>55.01774900814367</v>
      </c>
      <c r="J117"/>
    </row>
    <row r="118" spans="1:10" ht="31.5" customHeight="1">
      <c r="A118" s="35" t="s">
        <v>493</v>
      </c>
      <c r="B118" s="23"/>
      <c r="C118" s="24" t="s">
        <v>1140</v>
      </c>
      <c r="D118" s="24" t="s">
        <v>111</v>
      </c>
      <c r="E118" s="37" t="s">
        <v>201</v>
      </c>
      <c r="F118" s="28"/>
      <c r="G118" s="26">
        <f>SUM(G119)</f>
        <v>23</v>
      </c>
      <c r="H118" s="26"/>
      <c r="I118" s="26"/>
      <c r="J118"/>
    </row>
    <row r="119" spans="1:10" ht="25.5" customHeight="1">
      <c r="A119" s="281" t="s">
        <v>494</v>
      </c>
      <c r="B119" s="23"/>
      <c r="C119" s="24" t="s">
        <v>1140</v>
      </c>
      <c r="D119" s="24" t="s">
        <v>111</v>
      </c>
      <c r="E119" s="37" t="s">
        <v>201</v>
      </c>
      <c r="F119" s="28" t="s">
        <v>142</v>
      </c>
      <c r="G119" s="26">
        <v>23</v>
      </c>
      <c r="H119" s="26"/>
      <c r="I119" s="26"/>
      <c r="J119">
        <f>SUM('[1]ведомствен.2012'!G642)</f>
        <v>23</v>
      </c>
    </row>
    <row r="120" spans="1:10" ht="30.75" customHeight="1">
      <c r="A120" s="286" t="s">
        <v>1016</v>
      </c>
      <c r="B120" s="23"/>
      <c r="C120" s="24" t="s">
        <v>1140</v>
      </c>
      <c r="D120" s="24" t="s">
        <v>111</v>
      </c>
      <c r="E120" s="37" t="s">
        <v>753</v>
      </c>
      <c r="F120" s="28"/>
      <c r="G120" s="26">
        <f>SUM(G124)+G122+G125+G127+G129</f>
        <v>2371.5</v>
      </c>
      <c r="H120" s="26">
        <f>SUM(H124)</f>
        <v>1317.4</v>
      </c>
      <c r="I120" s="26">
        <f t="shared" si="4"/>
        <v>55.55133881509593</v>
      </c>
      <c r="J120"/>
    </row>
    <row r="121" spans="1:10" ht="72" customHeight="1" hidden="1">
      <c r="A121" s="286" t="s">
        <v>1184</v>
      </c>
      <c r="B121" s="23"/>
      <c r="C121" s="24" t="s">
        <v>1140</v>
      </c>
      <c r="D121" s="24" t="s">
        <v>111</v>
      </c>
      <c r="E121" s="24" t="s">
        <v>777</v>
      </c>
      <c r="F121" s="25"/>
      <c r="G121" s="26">
        <f>SUM(G122)</f>
        <v>0</v>
      </c>
      <c r="H121" s="26">
        <v>41.9</v>
      </c>
      <c r="I121" s="26" t="e">
        <f>SUM(H121/G121*100)</f>
        <v>#DIV/0!</v>
      </c>
      <c r="J121"/>
    </row>
    <row r="122" spans="1:10" ht="44.25" customHeight="1" hidden="1">
      <c r="A122" s="286" t="s">
        <v>1018</v>
      </c>
      <c r="B122" s="23"/>
      <c r="C122" s="24" t="s">
        <v>1140</v>
      </c>
      <c r="D122" s="24" t="s">
        <v>111</v>
      </c>
      <c r="E122" s="37" t="s">
        <v>777</v>
      </c>
      <c r="F122" s="28" t="s">
        <v>73</v>
      </c>
      <c r="G122" s="26"/>
      <c r="H122" s="26">
        <v>1317.4</v>
      </c>
      <c r="I122" s="26" t="e">
        <f>SUM(H122/G122*100)</f>
        <v>#DIV/0!</v>
      </c>
      <c r="J122">
        <f>SUM('[1]ведомствен.2012'!G266)</f>
        <v>0</v>
      </c>
    </row>
    <row r="123" spans="1:10" ht="29.25" customHeight="1">
      <c r="A123" s="286" t="s">
        <v>754</v>
      </c>
      <c r="B123" s="23"/>
      <c r="C123" s="24" t="s">
        <v>1140</v>
      </c>
      <c r="D123" s="24" t="s">
        <v>111</v>
      </c>
      <c r="E123" s="37" t="s">
        <v>755</v>
      </c>
      <c r="F123" s="28"/>
      <c r="G123" s="26">
        <f>SUM(G124)</f>
        <v>2290.8</v>
      </c>
      <c r="H123" s="26"/>
      <c r="I123" s="26"/>
      <c r="J123"/>
    </row>
    <row r="124" spans="1:13" ht="42" customHeight="1">
      <c r="A124" s="286" t="s">
        <v>1017</v>
      </c>
      <c r="B124" s="23"/>
      <c r="C124" s="24" t="s">
        <v>1140</v>
      </c>
      <c r="D124" s="24" t="s">
        <v>111</v>
      </c>
      <c r="E124" s="37" t="s">
        <v>755</v>
      </c>
      <c r="F124" s="28" t="s">
        <v>496</v>
      </c>
      <c r="G124" s="26">
        <v>2290.8</v>
      </c>
      <c r="H124" s="26">
        <v>1317.4</v>
      </c>
      <c r="I124" s="26">
        <f t="shared" si="4"/>
        <v>57.50829404574821</v>
      </c>
      <c r="J124">
        <f>SUM('[1]ведомствен.2012'!G268)</f>
        <v>2290.8</v>
      </c>
      <c r="M124" s="180" t="e">
        <f>SUM(#REF!)</f>
        <v>#REF!</v>
      </c>
    </row>
    <row r="125" spans="1:10" ht="38.25" customHeight="1">
      <c r="A125" s="286" t="s">
        <v>316</v>
      </c>
      <c r="B125" s="23"/>
      <c r="C125" s="24" t="s">
        <v>1140</v>
      </c>
      <c r="D125" s="24" t="s">
        <v>111</v>
      </c>
      <c r="E125" s="24" t="s">
        <v>673</v>
      </c>
      <c r="F125" s="25"/>
      <c r="G125" s="26">
        <f>SUM(G126)</f>
        <v>2.7</v>
      </c>
      <c r="H125" s="26"/>
      <c r="I125" s="26"/>
      <c r="J125"/>
    </row>
    <row r="126" spans="1:10" ht="38.25" customHeight="1">
      <c r="A126" s="286" t="s">
        <v>316</v>
      </c>
      <c r="B126" s="23"/>
      <c r="C126" s="24" t="s">
        <v>1140</v>
      </c>
      <c r="D126" s="24" t="s">
        <v>111</v>
      </c>
      <c r="E126" s="24" t="s">
        <v>673</v>
      </c>
      <c r="F126" s="25" t="s">
        <v>772</v>
      </c>
      <c r="G126" s="26">
        <v>2.7</v>
      </c>
      <c r="H126" s="26"/>
      <c r="I126" s="26"/>
      <c r="J126">
        <f>SUM('[1]ведомствен.2012'!G270)</f>
        <v>2.7</v>
      </c>
    </row>
    <row r="127" spans="1:10" ht="38.25" customHeight="1">
      <c r="A127" s="286" t="s">
        <v>378</v>
      </c>
      <c r="B127" s="23"/>
      <c r="C127" s="24" t="s">
        <v>1140</v>
      </c>
      <c r="D127" s="24" t="s">
        <v>111</v>
      </c>
      <c r="E127" s="24" t="s">
        <v>674</v>
      </c>
      <c r="F127" s="25"/>
      <c r="G127" s="26">
        <f>SUM(G128)</f>
        <v>63</v>
      </c>
      <c r="H127" s="26"/>
      <c r="I127" s="26"/>
      <c r="J127"/>
    </row>
    <row r="128" spans="1:10" ht="38.25" customHeight="1">
      <c r="A128" s="286" t="s">
        <v>316</v>
      </c>
      <c r="B128" s="23"/>
      <c r="C128" s="24" t="s">
        <v>1140</v>
      </c>
      <c r="D128" s="24" t="s">
        <v>111</v>
      </c>
      <c r="E128" s="24" t="s">
        <v>674</v>
      </c>
      <c r="F128" s="25" t="s">
        <v>772</v>
      </c>
      <c r="G128" s="26">
        <v>63</v>
      </c>
      <c r="H128" s="26"/>
      <c r="I128" s="26"/>
      <c r="J128">
        <f>SUM('[1]ведомствен.2012'!G272)</f>
        <v>63</v>
      </c>
    </row>
    <row r="129" spans="1:10" ht="38.25" customHeight="1">
      <c r="A129" s="286" t="s">
        <v>672</v>
      </c>
      <c r="B129" s="23"/>
      <c r="C129" s="24" t="s">
        <v>1140</v>
      </c>
      <c r="D129" s="24" t="s">
        <v>111</v>
      </c>
      <c r="E129" s="24" t="s">
        <v>671</v>
      </c>
      <c r="F129" s="25"/>
      <c r="G129" s="26">
        <f>SUM(G130)</f>
        <v>15</v>
      </c>
      <c r="H129" s="26"/>
      <c r="I129" s="26"/>
      <c r="J129"/>
    </row>
    <row r="130" spans="1:10" ht="37.5" customHeight="1">
      <c r="A130" s="286" t="s">
        <v>316</v>
      </c>
      <c r="B130" s="23"/>
      <c r="C130" s="24" t="s">
        <v>1140</v>
      </c>
      <c r="D130" s="24" t="s">
        <v>111</v>
      </c>
      <c r="E130" s="24" t="s">
        <v>671</v>
      </c>
      <c r="F130" s="25" t="s">
        <v>772</v>
      </c>
      <c r="G130" s="26">
        <v>15</v>
      </c>
      <c r="H130" s="26"/>
      <c r="I130" s="26"/>
      <c r="J130">
        <f>SUM('[1]ведомствен.2012'!G274)</f>
        <v>15</v>
      </c>
    </row>
    <row r="131" spans="1:10" ht="10.5" customHeight="1" hidden="1">
      <c r="A131" s="38" t="s">
        <v>758</v>
      </c>
      <c r="B131" s="23"/>
      <c r="C131" s="24" t="s">
        <v>1140</v>
      </c>
      <c r="D131" s="24" t="s">
        <v>111</v>
      </c>
      <c r="E131" s="24" t="s">
        <v>759</v>
      </c>
      <c r="F131" s="29"/>
      <c r="G131" s="26">
        <f>SUM(G132)</f>
        <v>0</v>
      </c>
      <c r="H131" s="26">
        <f>SUM(H132)</f>
        <v>5048</v>
      </c>
      <c r="I131" s="26" t="e">
        <f>SUM(H131/G131*100)</f>
        <v>#DIV/0!</v>
      </c>
      <c r="J131"/>
    </row>
    <row r="132" spans="1:10" ht="12.75" customHeight="1" hidden="1">
      <c r="A132" s="27" t="s">
        <v>1147</v>
      </c>
      <c r="B132" s="23"/>
      <c r="C132" s="24" t="s">
        <v>1140</v>
      </c>
      <c r="D132" s="24" t="s">
        <v>111</v>
      </c>
      <c r="E132" s="24" t="s">
        <v>759</v>
      </c>
      <c r="F132" s="29" t="s">
        <v>1148</v>
      </c>
      <c r="G132" s="26"/>
      <c r="H132" s="26">
        <v>5048</v>
      </c>
      <c r="I132" s="26" t="e">
        <f>SUM(H132/G132*100)</f>
        <v>#DIV/0!</v>
      </c>
      <c r="J132"/>
    </row>
    <row r="133" spans="1:12" ht="18" customHeight="1" hidden="1">
      <c r="A133" s="35" t="s">
        <v>1186</v>
      </c>
      <c r="B133" s="23"/>
      <c r="C133" s="24" t="s">
        <v>1140</v>
      </c>
      <c r="D133" s="24" t="s">
        <v>111</v>
      </c>
      <c r="E133" s="24" t="s">
        <v>1187</v>
      </c>
      <c r="F133" s="29"/>
      <c r="G133" s="26">
        <f>SUM(G134)</f>
        <v>0</v>
      </c>
      <c r="H133" s="26">
        <f>SUM(H134)</f>
        <v>0</v>
      </c>
      <c r="I133" s="26" t="e">
        <f t="shared" si="4"/>
        <v>#DIV/0!</v>
      </c>
      <c r="J133"/>
      <c r="L133" s="257"/>
    </row>
    <row r="134" spans="1:10" ht="16.5" customHeight="1" hidden="1">
      <c r="A134" s="27" t="s">
        <v>1147</v>
      </c>
      <c r="B134" s="23"/>
      <c r="C134" s="24" t="s">
        <v>1140</v>
      </c>
      <c r="D134" s="24" t="s">
        <v>111</v>
      </c>
      <c r="E134" s="24" t="s">
        <v>1187</v>
      </c>
      <c r="F134" s="29" t="s">
        <v>1148</v>
      </c>
      <c r="G134" s="26">
        <f>SUM(G135+G136)</f>
        <v>0</v>
      </c>
      <c r="H134" s="26">
        <f>SUM(H135+H136)</f>
        <v>0</v>
      </c>
      <c r="I134" s="26" t="e">
        <f t="shared" si="4"/>
        <v>#DIV/0!</v>
      </c>
      <c r="J134"/>
    </row>
    <row r="135" spans="1:10" ht="21" customHeight="1" hidden="1">
      <c r="A135" s="27" t="s">
        <v>202</v>
      </c>
      <c r="B135" s="23"/>
      <c r="C135" s="24" t="s">
        <v>1140</v>
      </c>
      <c r="D135" s="24" t="s">
        <v>111</v>
      </c>
      <c r="E135" s="24" t="s">
        <v>203</v>
      </c>
      <c r="F135" s="29" t="s">
        <v>1148</v>
      </c>
      <c r="G135" s="26"/>
      <c r="H135" s="26"/>
      <c r="I135" s="26" t="e">
        <f t="shared" si="4"/>
        <v>#DIV/0!</v>
      </c>
      <c r="J135"/>
    </row>
    <row r="136" spans="1:10" ht="27.75" customHeight="1" hidden="1">
      <c r="A136" s="27" t="s">
        <v>204</v>
      </c>
      <c r="B136" s="23"/>
      <c r="C136" s="24" t="s">
        <v>1140</v>
      </c>
      <c r="D136" s="24" t="s">
        <v>664</v>
      </c>
      <c r="E136" s="24" t="s">
        <v>205</v>
      </c>
      <c r="F136" s="29" t="s">
        <v>1148</v>
      </c>
      <c r="G136" s="26"/>
      <c r="H136" s="26"/>
      <c r="I136" s="26" t="e">
        <f t="shared" si="4"/>
        <v>#DIV/0!</v>
      </c>
      <c r="J136"/>
    </row>
    <row r="137" spans="1:12" s="22" customFormat="1" ht="30">
      <c r="A137" s="263" t="s">
        <v>206</v>
      </c>
      <c r="B137" s="42"/>
      <c r="C137" s="43" t="s">
        <v>1150</v>
      </c>
      <c r="D137" s="43"/>
      <c r="E137" s="43"/>
      <c r="F137" s="44"/>
      <c r="G137" s="45">
        <f>SUM(G138+G165)+G183+G161</f>
        <v>24368.8</v>
      </c>
      <c r="H137" s="45">
        <f>SUM(H138+H165)+H183</f>
        <v>52801.7</v>
      </c>
      <c r="I137" s="45">
        <f t="shared" si="4"/>
        <v>216.67747283411575</v>
      </c>
      <c r="K137" s="22">
        <f>SUM(J161:J179)</f>
        <v>24368.800000000003</v>
      </c>
      <c r="L137" s="22">
        <f>SUM('[1]ведомствен.2012'!G279+'[1]ведомствен.2012'!G643)</f>
        <v>24368.800000000003</v>
      </c>
    </row>
    <row r="138" spans="1:10" ht="15" hidden="1">
      <c r="A138" s="35" t="s">
        <v>207</v>
      </c>
      <c r="B138" s="23"/>
      <c r="C138" s="24" t="s">
        <v>1150</v>
      </c>
      <c r="D138" s="24" t="s">
        <v>1142</v>
      </c>
      <c r="E138" s="24"/>
      <c r="F138" s="28"/>
      <c r="G138" s="26">
        <f>SUM(G139)</f>
        <v>0</v>
      </c>
      <c r="H138" s="26">
        <f>SUM(H139)</f>
        <v>36922.5</v>
      </c>
      <c r="I138" s="26" t="e">
        <f t="shared" si="4"/>
        <v>#DIV/0!</v>
      </c>
      <c r="J138"/>
    </row>
    <row r="139" spans="1:10" ht="15" hidden="1">
      <c r="A139" s="35" t="s">
        <v>207</v>
      </c>
      <c r="B139" s="23"/>
      <c r="C139" s="24" t="s">
        <v>1150</v>
      </c>
      <c r="D139" s="24" t="s">
        <v>1142</v>
      </c>
      <c r="E139" s="24"/>
      <c r="F139" s="25"/>
      <c r="G139" s="26">
        <f>SUM(G140+G157)</f>
        <v>0</v>
      </c>
      <c r="H139" s="26">
        <f>SUM(H140+H157)</f>
        <v>36922.5</v>
      </c>
      <c r="I139" s="26" t="e">
        <f t="shared" si="4"/>
        <v>#DIV/0!</v>
      </c>
      <c r="J139"/>
    </row>
    <row r="140" spans="1:10" ht="18.75" customHeight="1" hidden="1">
      <c r="A140" s="38" t="s">
        <v>208</v>
      </c>
      <c r="B140" s="23"/>
      <c r="C140" s="24" t="s">
        <v>1150</v>
      </c>
      <c r="D140" s="24" t="s">
        <v>1142</v>
      </c>
      <c r="E140" s="46" t="s">
        <v>155</v>
      </c>
      <c r="F140" s="25"/>
      <c r="G140" s="26">
        <f>SUM(G141+G143+G145+G147+G150+G155)</f>
        <v>0</v>
      </c>
      <c r="H140" s="26">
        <f>SUM(H141+H143+H145+H147+H150+H155)</f>
        <v>36646.8</v>
      </c>
      <c r="I140" s="26" t="e">
        <f t="shared" si="4"/>
        <v>#DIV/0!</v>
      </c>
      <c r="J140"/>
    </row>
    <row r="141" spans="1:10" ht="71.25" hidden="1">
      <c r="A141" s="38" t="s">
        <v>156</v>
      </c>
      <c r="B141" s="23"/>
      <c r="C141" s="24" t="s">
        <v>1150</v>
      </c>
      <c r="D141" s="24" t="s">
        <v>1142</v>
      </c>
      <c r="E141" s="46" t="s">
        <v>157</v>
      </c>
      <c r="F141" s="25"/>
      <c r="G141" s="26">
        <f>SUM(G142)</f>
        <v>0</v>
      </c>
      <c r="H141" s="26">
        <f>SUM(H142)</f>
        <v>2461.2</v>
      </c>
      <c r="I141" s="26" t="e">
        <f t="shared" si="4"/>
        <v>#DIV/0!</v>
      </c>
      <c r="J141"/>
    </row>
    <row r="142" spans="1:13" ht="42.75" hidden="1">
      <c r="A142" s="38" t="s">
        <v>158</v>
      </c>
      <c r="B142" s="23"/>
      <c r="C142" s="24" t="s">
        <v>1150</v>
      </c>
      <c r="D142" s="24" t="s">
        <v>1142</v>
      </c>
      <c r="E142" s="46" t="s">
        <v>157</v>
      </c>
      <c r="F142" s="25" t="s">
        <v>159</v>
      </c>
      <c r="G142" s="26"/>
      <c r="H142" s="26">
        <v>2461.2</v>
      </c>
      <c r="I142" s="26" t="e">
        <f t="shared" si="4"/>
        <v>#DIV/0!</v>
      </c>
      <c r="M142" s="180" t="e">
        <f>SUM(#REF!)</f>
        <v>#REF!</v>
      </c>
    </row>
    <row r="143" spans="1:10" ht="15" hidden="1">
      <c r="A143" s="38" t="s">
        <v>160</v>
      </c>
      <c r="B143" s="23"/>
      <c r="C143" s="24" t="s">
        <v>1150</v>
      </c>
      <c r="D143" s="24" t="s">
        <v>1142</v>
      </c>
      <c r="E143" s="46" t="s">
        <v>161</v>
      </c>
      <c r="F143" s="25"/>
      <c r="G143" s="26">
        <f>SUM(G144)</f>
        <v>0</v>
      </c>
      <c r="H143" s="26">
        <f>SUM(H144)</f>
        <v>25107.2</v>
      </c>
      <c r="I143" s="26" t="e">
        <f aca="true" t="shared" si="5" ref="I143:I204">SUM(H143/G143*100)</f>
        <v>#DIV/0!</v>
      </c>
      <c r="J143"/>
    </row>
    <row r="144" spans="1:13" ht="41.25" customHeight="1" hidden="1">
      <c r="A144" s="38" t="s">
        <v>158</v>
      </c>
      <c r="B144" s="23"/>
      <c r="C144" s="24" t="s">
        <v>1150</v>
      </c>
      <c r="D144" s="24" t="s">
        <v>1142</v>
      </c>
      <c r="E144" s="46" t="s">
        <v>161</v>
      </c>
      <c r="F144" s="25" t="s">
        <v>159</v>
      </c>
      <c r="G144" s="26"/>
      <c r="H144" s="26">
        <v>25107.2</v>
      </c>
      <c r="I144" s="26" t="e">
        <f t="shared" si="5"/>
        <v>#DIV/0!</v>
      </c>
      <c r="M144" s="180" t="e">
        <f>SUM(#REF!)</f>
        <v>#REF!</v>
      </c>
    </row>
    <row r="145" spans="1:10" ht="31.5" customHeight="1" hidden="1">
      <c r="A145" s="38" t="s">
        <v>162</v>
      </c>
      <c r="B145" s="23"/>
      <c r="C145" s="24" t="s">
        <v>1150</v>
      </c>
      <c r="D145" s="24" t="s">
        <v>1142</v>
      </c>
      <c r="E145" s="46" t="s">
        <v>163</v>
      </c>
      <c r="F145" s="25"/>
      <c r="G145" s="26">
        <f>SUM(G146)</f>
        <v>0</v>
      </c>
      <c r="H145" s="26">
        <f>SUM(H146)</f>
        <v>7951.2</v>
      </c>
      <c r="I145" s="26" t="e">
        <f t="shared" si="5"/>
        <v>#DIV/0!</v>
      </c>
      <c r="J145"/>
    </row>
    <row r="146" spans="1:13" ht="42.75" hidden="1">
      <c r="A146" s="38" t="s">
        <v>158</v>
      </c>
      <c r="B146" s="23"/>
      <c r="C146" s="24" t="s">
        <v>1150</v>
      </c>
      <c r="D146" s="24" t="s">
        <v>1142</v>
      </c>
      <c r="E146" s="46" t="s">
        <v>163</v>
      </c>
      <c r="F146" s="25" t="s">
        <v>159</v>
      </c>
      <c r="G146" s="26"/>
      <c r="H146" s="26">
        <v>7951.2</v>
      </c>
      <c r="I146" s="26" t="e">
        <f t="shared" si="5"/>
        <v>#DIV/0!</v>
      </c>
      <c r="M146" s="180" t="e">
        <f>SUM(#REF!)</f>
        <v>#REF!</v>
      </c>
    </row>
    <row r="147" spans="1:10" ht="15" hidden="1">
      <c r="A147" s="38" t="s">
        <v>164</v>
      </c>
      <c r="B147" s="23"/>
      <c r="C147" s="24" t="s">
        <v>1150</v>
      </c>
      <c r="D147" s="24" t="s">
        <v>1142</v>
      </c>
      <c r="E147" s="46" t="s">
        <v>165</v>
      </c>
      <c r="F147" s="25"/>
      <c r="G147" s="26">
        <f>SUM(G148)</f>
        <v>0</v>
      </c>
      <c r="H147" s="26">
        <f>SUM(H148)</f>
        <v>73.1</v>
      </c>
      <c r="I147" s="26" t="e">
        <f t="shared" si="5"/>
        <v>#DIV/0!</v>
      </c>
      <c r="J147"/>
    </row>
    <row r="148" spans="1:10" ht="30.75" customHeight="1" hidden="1">
      <c r="A148" s="38" t="s">
        <v>949</v>
      </c>
      <c r="B148" s="23"/>
      <c r="C148" s="24" t="s">
        <v>1150</v>
      </c>
      <c r="D148" s="24" t="s">
        <v>1142</v>
      </c>
      <c r="E148" s="46" t="s">
        <v>950</v>
      </c>
      <c r="F148" s="25"/>
      <c r="G148" s="26">
        <f>SUM(G149)</f>
        <v>0</v>
      </c>
      <c r="H148" s="26">
        <f>SUM(H149)</f>
        <v>73.1</v>
      </c>
      <c r="I148" s="26" t="e">
        <f t="shared" si="5"/>
        <v>#DIV/0!</v>
      </c>
      <c r="J148"/>
    </row>
    <row r="149" spans="1:13" ht="42.75" hidden="1">
      <c r="A149" s="38" t="s">
        <v>158</v>
      </c>
      <c r="B149" s="23"/>
      <c r="C149" s="24" t="s">
        <v>1150</v>
      </c>
      <c r="D149" s="24" t="s">
        <v>1142</v>
      </c>
      <c r="E149" s="46" t="s">
        <v>950</v>
      </c>
      <c r="F149" s="25" t="s">
        <v>159</v>
      </c>
      <c r="G149" s="26"/>
      <c r="H149" s="26">
        <v>73.1</v>
      </c>
      <c r="I149" s="26" t="e">
        <f t="shared" si="5"/>
        <v>#DIV/0!</v>
      </c>
      <c r="M149" s="180" t="e">
        <f>SUM(#REF!)</f>
        <v>#REF!</v>
      </c>
    </row>
    <row r="150" spans="1:10" ht="15" hidden="1">
      <c r="A150" s="35" t="s">
        <v>951</v>
      </c>
      <c r="B150" s="23"/>
      <c r="C150" s="24" t="s">
        <v>952</v>
      </c>
      <c r="D150" s="24" t="s">
        <v>1142</v>
      </c>
      <c r="E150" s="46" t="s">
        <v>953</v>
      </c>
      <c r="F150" s="25"/>
      <c r="G150" s="26">
        <f>SUM(G151+G153)</f>
        <v>0</v>
      </c>
      <c r="H150" s="26">
        <f>SUM(H151+H153)</f>
        <v>66.8</v>
      </c>
      <c r="I150" s="26" t="e">
        <f t="shared" si="5"/>
        <v>#DIV/0!</v>
      </c>
      <c r="J150"/>
    </row>
    <row r="151" spans="1:10" ht="28.5" hidden="1">
      <c r="A151" s="38" t="s">
        <v>954</v>
      </c>
      <c r="B151" s="23"/>
      <c r="C151" s="24" t="s">
        <v>952</v>
      </c>
      <c r="D151" s="24" t="s">
        <v>1142</v>
      </c>
      <c r="E151" s="46" t="s">
        <v>955</v>
      </c>
      <c r="F151" s="25"/>
      <c r="G151" s="26">
        <f>SUM(G152)</f>
        <v>0</v>
      </c>
      <c r="H151" s="26">
        <f>SUM(H152)</f>
        <v>0</v>
      </c>
      <c r="I151" s="26" t="e">
        <f t="shared" si="5"/>
        <v>#DIV/0!</v>
      </c>
      <c r="J151"/>
    </row>
    <row r="152" spans="1:13" ht="42.75" hidden="1">
      <c r="A152" s="38" t="s">
        <v>158</v>
      </c>
      <c r="B152" s="23"/>
      <c r="C152" s="24" t="s">
        <v>952</v>
      </c>
      <c r="D152" s="24" t="s">
        <v>1142</v>
      </c>
      <c r="E152" s="46" t="s">
        <v>955</v>
      </c>
      <c r="F152" s="25" t="s">
        <v>159</v>
      </c>
      <c r="G152" s="26"/>
      <c r="H152" s="26"/>
      <c r="I152" s="26" t="e">
        <f t="shared" si="5"/>
        <v>#DIV/0!</v>
      </c>
      <c r="M152" s="180" t="e">
        <f>SUM(#REF!)</f>
        <v>#REF!</v>
      </c>
    </row>
    <row r="153" spans="1:10" ht="15" hidden="1">
      <c r="A153" s="38" t="s">
        <v>956</v>
      </c>
      <c r="B153" s="23"/>
      <c r="C153" s="24" t="s">
        <v>952</v>
      </c>
      <c r="D153" s="24" t="s">
        <v>1142</v>
      </c>
      <c r="E153" s="46" t="s">
        <v>957</v>
      </c>
      <c r="F153" s="25"/>
      <c r="G153" s="26">
        <f>SUM(G154)</f>
        <v>0</v>
      </c>
      <c r="H153" s="26">
        <f>SUM(H154)</f>
        <v>66.8</v>
      </c>
      <c r="I153" s="26" t="e">
        <f t="shared" si="5"/>
        <v>#DIV/0!</v>
      </c>
      <c r="J153"/>
    </row>
    <row r="154" spans="1:13" ht="42.75" hidden="1">
      <c r="A154" s="38" t="s">
        <v>158</v>
      </c>
      <c r="B154" s="23"/>
      <c r="C154" s="24" t="s">
        <v>952</v>
      </c>
      <c r="D154" s="24" t="s">
        <v>1142</v>
      </c>
      <c r="E154" s="46" t="s">
        <v>957</v>
      </c>
      <c r="F154" s="25" t="s">
        <v>159</v>
      </c>
      <c r="G154" s="26"/>
      <c r="H154" s="26">
        <v>66.8</v>
      </c>
      <c r="I154" s="26" t="e">
        <f t="shared" si="5"/>
        <v>#DIV/0!</v>
      </c>
      <c r="M154" s="180" t="e">
        <f>SUM(#REF!)</f>
        <v>#REF!</v>
      </c>
    </row>
    <row r="155" spans="1:10" ht="27" customHeight="1" hidden="1">
      <c r="A155" s="35" t="s">
        <v>958</v>
      </c>
      <c r="B155" s="23"/>
      <c r="C155" s="24" t="s">
        <v>952</v>
      </c>
      <c r="D155" s="24" t="s">
        <v>1142</v>
      </c>
      <c r="E155" s="46" t="s">
        <v>959</v>
      </c>
      <c r="F155" s="25"/>
      <c r="G155" s="26">
        <f>SUM(G156)</f>
        <v>0</v>
      </c>
      <c r="H155" s="26">
        <f>SUM(H156)</f>
        <v>987.3</v>
      </c>
      <c r="I155" s="26" t="e">
        <f t="shared" si="5"/>
        <v>#DIV/0!</v>
      </c>
      <c r="J155"/>
    </row>
    <row r="156" spans="1:13" ht="18.75" customHeight="1" hidden="1">
      <c r="A156" s="38" t="s">
        <v>960</v>
      </c>
      <c r="B156" s="23"/>
      <c r="C156" s="24" t="s">
        <v>952</v>
      </c>
      <c r="D156" s="24" t="s">
        <v>1142</v>
      </c>
      <c r="E156" s="46" t="s">
        <v>959</v>
      </c>
      <c r="F156" s="25" t="s">
        <v>961</v>
      </c>
      <c r="G156" s="26"/>
      <c r="H156" s="26">
        <v>987.3</v>
      </c>
      <c r="I156" s="26" t="e">
        <f t="shared" si="5"/>
        <v>#DIV/0!</v>
      </c>
      <c r="M156" s="180" t="e">
        <f>SUM(#REF!)</f>
        <v>#REF!</v>
      </c>
    </row>
    <row r="157" spans="1:10" ht="15" hidden="1">
      <c r="A157" s="79" t="s">
        <v>1186</v>
      </c>
      <c r="B157" s="47"/>
      <c r="C157" s="47" t="s">
        <v>1150</v>
      </c>
      <c r="D157" s="47" t="s">
        <v>1142</v>
      </c>
      <c r="E157" s="48" t="s">
        <v>1187</v>
      </c>
      <c r="F157" s="49"/>
      <c r="G157" s="26">
        <f>SUM(G158)</f>
        <v>0</v>
      </c>
      <c r="H157" s="26">
        <f>SUM(H158)</f>
        <v>275.7</v>
      </c>
      <c r="I157" s="26" t="e">
        <f t="shared" si="5"/>
        <v>#DIV/0!</v>
      </c>
      <c r="J157"/>
    </row>
    <row r="158" spans="1:10" ht="42.75" hidden="1">
      <c r="A158" s="38" t="s">
        <v>158</v>
      </c>
      <c r="B158" s="50"/>
      <c r="C158" s="51" t="s">
        <v>1150</v>
      </c>
      <c r="D158" s="51" t="s">
        <v>1142</v>
      </c>
      <c r="E158" s="51" t="s">
        <v>962</v>
      </c>
      <c r="F158" s="52" t="s">
        <v>159</v>
      </c>
      <c r="G158" s="26">
        <f>SUM(G159)</f>
        <v>0</v>
      </c>
      <c r="H158" s="26">
        <f>SUM(H159)</f>
        <v>275.7</v>
      </c>
      <c r="I158" s="26" t="e">
        <f t="shared" si="5"/>
        <v>#DIV/0!</v>
      </c>
      <c r="J158"/>
    </row>
    <row r="159" spans="1:13" ht="42" customHeight="1" hidden="1">
      <c r="A159" s="99" t="s">
        <v>1109</v>
      </c>
      <c r="B159" s="53"/>
      <c r="C159" s="51" t="s">
        <v>1150</v>
      </c>
      <c r="D159" s="51" t="s">
        <v>1142</v>
      </c>
      <c r="E159" s="51" t="s">
        <v>963</v>
      </c>
      <c r="F159" s="52" t="s">
        <v>159</v>
      </c>
      <c r="G159" s="54"/>
      <c r="H159" s="54">
        <v>275.7</v>
      </c>
      <c r="I159" s="26" t="e">
        <f t="shared" si="5"/>
        <v>#DIV/0!</v>
      </c>
      <c r="M159" s="180" t="e">
        <f>SUM(#REF!)</f>
        <v>#REF!</v>
      </c>
    </row>
    <row r="160" spans="1:10" ht="42.75" customHeight="1" hidden="1">
      <c r="A160" s="99" t="s">
        <v>968</v>
      </c>
      <c r="B160" s="53"/>
      <c r="C160" s="51" t="s">
        <v>1150</v>
      </c>
      <c r="D160" s="51" t="s">
        <v>1142</v>
      </c>
      <c r="E160" s="51" t="s">
        <v>969</v>
      </c>
      <c r="F160" s="52" t="s">
        <v>159</v>
      </c>
      <c r="G160" s="54"/>
      <c r="H160" s="54"/>
      <c r="I160" s="26" t="e">
        <f t="shared" si="5"/>
        <v>#DIV/0!</v>
      </c>
      <c r="J160"/>
    </row>
    <row r="161" spans="1:9" s="39" customFormat="1" ht="18.75" customHeight="1">
      <c r="A161" s="280" t="s">
        <v>499</v>
      </c>
      <c r="B161" s="36"/>
      <c r="C161" s="37" t="s">
        <v>1150</v>
      </c>
      <c r="D161" s="37" t="s">
        <v>1174</v>
      </c>
      <c r="E161" s="37"/>
      <c r="F161" s="28"/>
      <c r="G161" s="26">
        <f>SUM(G163)</f>
        <v>6239.7</v>
      </c>
      <c r="H161" s="26">
        <f>SUM(H163)</f>
        <v>0</v>
      </c>
      <c r="I161" s="26">
        <f>SUM(H161/G161*100)</f>
        <v>0</v>
      </c>
    </row>
    <row r="162" spans="1:9" s="39" customFormat="1" ht="27.75" customHeight="1">
      <c r="A162" s="281" t="s">
        <v>665</v>
      </c>
      <c r="B162" s="36"/>
      <c r="C162" s="37" t="s">
        <v>1150</v>
      </c>
      <c r="D162" s="37" t="s">
        <v>1174</v>
      </c>
      <c r="E162" s="37" t="s">
        <v>666</v>
      </c>
      <c r="F162" s="28"/>
      <c r="G162" s="26">
        <f>SUM(G163)</f>
        <v>6239.7</v>
      </c>
      <c r="H162" s="26"/>
      <c r="I162" s="26"/>
    </row>
    <row r="163" spans="1:9" s="39" customFormat="1" ht="28.5">
      <c r="A163" s="281" t="s">
        <v>135</v>
      </c>
      <c r="B163" s="36"/>
      <c r="C163" s="37" t="s">
        <v>1150</v>
      </c>
      <c r="D163" s="37" t="s">
        <v>1174</v>
      </c>
      <c r="E163" s="37" t="s">
        <v>136</v>
      </c>
      <c r="F163" s="28"/>
      <c r="G163" s="26">
        <f>SUM(G164)</f>
        <v>6239.7</v>
      </c>
      <c r="H163" s="26">
        <f>SUM(H164)</f>
        <v>0</v>
      </c>
      <c r="I163" s="26">
        <f>SUM(H163/G163*100)</f>
        <v>0</v>
      </c>
    </row>
    <row r="164" spans="1:13" s="39" customFormat="1" ht="15">
      <c r="A164" s="281" t="s">
        <v>1147</v>
      </c>
      <c r="B164" s="36"/>
      <c r="C164" s="37" t="s">
        <v>1150</v>
      </c>
      <c r="D164" s="37" t="s">
        <v>1174</v>
      </c>
      <c r="E164" s="37" t="s">
        <v>136</v>
      </c>
      <c r="F164" s="28" t="s">
        <v>1148</v>
      </c>
      <c r="G164" s="26">
        <v>6239.7</v>
      </c>
      <c r="H164" s="26"/>
      <c r="I164" s="26">
        <f>SUM(H164/G164*100)</f>
        <v>0</v>
      </c>
      <c r="J164" s="39">
        <f>SUM('[1]ведомствен.2012'!G283)</f>
        <v>6239.7</v>
      </c>
      <c r="M164" s="39" t="e">
        <f>SUM(#REF!)</f>
        <v>#REF!</v>
      </c>
    </row>
    <row r="165" spans="1:10" ht="45.75" customHeight="1">
      <c r="A165" s="38" t="s">
        <v>970</v>
      </c>
      <c r="B165" s="23"/>
      <c r="C165" s="37" t="s">
        <v>1150</v>
      </c>
      <c r="D165" s="37" t="s">
        <v>971</v>
      </c>
      <c r="E165" s="37"/>
      <c r="F165" s="28"/>
      <c r="G165" s="26">
        <f>SUM(G169+G174+G177+G180)+G167</f>
        <v>18129.1</v>
      </c>
      <c r="H165" s="26">
        <f>SUM(H169+H174+H177+H180)+H167</f>
        <v>15879.199999999997</v>
      </c>
      <c r="I165" s="26">
        <f t="shared" si="5"/>
        <v>87.58956594646176</v>
      </c>
      <c r="J165"/>
    </row>
    <row r="166" spans="1:10" ht="18" customHeight="1" hidden="1">
      <c r="A166" s="35" t="s">
        <v>660</v>
      </c>
      <c r="B166" s="23"/>
      <c r="C166" s="37" t="s">
        <v>1150</v>
      </c>
      <c r="D166" s="37" t="s">
        <v>971</v>
      </c>
      <c r="E166" s="37" t="s">
        <v>662</v>
      </c>
      <c r="F166" s="28"/>
      <c r="G166" s="26">
        <f>SUM(G167)</f>
        <v>0</v>
      </c>
      <c r="H166" s="26">
        <f>SUM(H167)</f>
        <v>0</v>
      </c>
      <c r="I166" s="26" t="e">
        <f t="shared" si="5"/>
        <v>#DIV/0!</v>
      </c>
      <c r="J166"/>
    </row>
    <row r="167" spans="1:10" ht="18.75" customHeight="1" hidden="1">
      <c r="A167" s="35" t="s">
        <v>638</v>
      </c>
      <c r="B167" s="23"/>
      <c r="C167" s="37" t="s">
        <v>1150</v>
      </c>
      <c r="D167" s="37" t="s">
        <v>971</v>
      </c>
      <c r="E167" s="37" t="s">
        <v>639</v>
      </c>
      <c r="F167" s="28"/>
      <c r="G167" s="26">
        <f>SUM(G168)</f>
        <v>0</v>
      </c>
      <c r="H167" s="26">
        <f>SUM(H168)</f>
        <v>0</v>
      </c>
      <c r="I167" s="26" t="e">
        <f t="shared" si="5"/>
        <v>#DIV/0!</v>
      </c>
      <c r="J167"/>
    </row>
    <row r="168" spans="1:10" ht="18" customHeight="1" hidden="1">
      <c r="A168" s="27" t="s">
        <v>1147</v>
      </c>
      <c r="B168" s="23"/>
      <c r="C168" s="37" t="s">
        <v>1150</v>
      </c>
      <c r="D168" s="37" t="s">
        <v>971</v>
      </c>
      <c r="E168" s="37" t="s">
        <v>639</v>
      </c>
      <c r="F168" s="28" t="s">
        <v>1148</v>
      </c>
      <c r="G168" s="26"/>
      <c r="H168" s="26"/>
      <c r="I168" s="26" t="e">
        <f t="shared" si="5"/>
        <v>#DIV/0!</v>
      </c>
      <c r="J168"/>
    </row>
    <row r="169" spans="1:10" ht="30.75" customHeight="1">
      <c r="A169" s="38" t="s">
        <v>972</v>
      </c>
      <c r="B169" s="23"/>
      <c r="C169" s="37" t="s">
        <v>1150</v>
      </c>
      <c r="D169" s="37" t="s">
        <v>971</v>
      </c>
      <c r="E169" s="37" t="s">
        <v>973</v>
      </c>
      <c r="F169" s="28"/>
      <c r="G169" s="26">
        <f>SUM(G170)+G172</f>
        <v>5862.5</v>
      </c>
      <c r="H169" s="26">
        <f>SUM(H170)+H172</f>
        <v>10264.099999999999</v>
      </c>
      <c r="I169" s="26">
        <f t="shared" si="5"/>
        <v>175.08059701492536</v>
      </c>
      <c r="J169"/>
    </row>
    <row r="170" spans="1:10" ht="43.5" customHeight="1">
      <c r="A170" s="38" t="s">
        <v>974</v>
      </c>
      <c r="B170" s="23"/>
      <c r="C170" s="37" t="s">
        <v>1150</v>
      </c>
      <c r="D170" s="37" t="s">
        <v>971</v>
      </c>
      <c r="E170" s="37" t="s">
        <v>975</v>
      </c>
      <c r="F170" s="28"/>
      <c r="G170" s="26">
        <f>SUM(G171)</f>
        <v>3862.5</v>
      </c>
      <c r="H170" s="26">
        <f>SUM(H171)</f>
        <v>438.8</v>
      </c>
      <c r="I170" s="26">
        <f t="shared" si="5"/>
        <v>11.36051779935275</v>
      </c>
      <c r="J170"/>
    </row>
    <row r="171" spans="1:13" ht="15">
      <c r="A171" s="27" t="s">
        <v>1147</v>
      </c>
      <c r="B171" s="23"/>
      <c r="C171" s="37" t="s">
        <v>1150</v>
      </c>
      <c r="D171" s="37" t="s">
        <v>971</v>
      </c>
      <c r="E171" s="37" t="s">
        <v>975</v>
      </c>
      <c r="F171" s="28" t="s">
        <v>1148</v>
      </c>
      <c r="G171" s="26">
        <f>2062.5+1800</f>
        <v>3862.5</v>
      </c>
      <c r="H171" s="26">
        <v>438.8</v>
      </c>
      <c r="I171" s="26">
        <f t="shared" si="5"/>
        <v>11.36051779935275</v>
      </c>
      <c r="J171" s="180">
        <f>SUM('[1]ведомствен.2012'!G290)</f>
        <v>3862.5</v>
      </c>
      <c r="M171" s="180" t="e">
        <f>SUM(#REF!)</f>
        <v>#REF!</v>
      </c>
    </row>
    <row r="172" spans="1:10" ht="28.5">
      <c r="A172" s="27" t="s">
        <v>982</v>
      </c>
      <c r="B172" s="23"/>
      <c r="C172" s="37" t="s">
        <v>1150</v>
      </c>
      <c r="D172" s="37" t="s">
        <v>971</v>
      </c>
      <c r="E172" s="37" t="s">
        <v>983</v>
      </c>
      <c r="F172" s="28"/>
      <c r="G172" s="26">
        <f>SUM(G173)</f>
        <v>2000</v>
      </c>
      <c r="H172" s="26">
        <f>SUM(H173)</f>
        <v>9825.3</v>
      </c>
      <c r="I172" s="26">
        <f t="shared" si="5"/>
        <v>491.26499999999993</v>
      </c>
      <c r="J172"/>
    </row>
    <row r="173" spans="1:13" ht="15">
      <c r="A173" s="27" t="s">
        <v>658</v>
      </c>
      <c r="B173" s="23"/>
      <c r="C173" s="37" t="s">
        <v>1150</v>
      </c>
      <c r="D173" s="37" t="s">
        <v>971</v>
      </c>
      <c r="E173" s="37" t="s">
        <v>983</v>
      </c>
      <c r="F173" s="28" t="s">
        <v>659</v>
      </c>
      <c r="G173" s="26">
        <v>2000</v>
      </c>
      <c r="H173" s="26">
        <v>9825.3</v>
      </c>
      <c r="I173" s="26">
        <f t="shared" si="5"/>
        <v>491.26499999999993</v>
      </c>
      <c r="J173" s="180">
        <f>SUM('[1]ведомствен.2012'!G292)</f>
        <v>2000</v>
      </c>
      <c r="M173" s="180" t="e">
        <f>SUM(#REF!)</f>
        <v>#REF!</v>
      </c>
    </row>
    <row r="174" spans="1:10" ht="15">
      <c r="A174" s="38" t="s">
        <v>984</v>
      </c>
      <c r="B174" s="50"/>
      <c r="C174" s="50" t="s">
        <v>1150</v>
      </c>
      <c r="D174" s="50" t="s">
        <v>971</v>
      </c>
      <c r="E174" s="50" t="s">
        <v>985</v>
      </c>
      <c r="F174" s="55"/>
      <c r="G174" s="26">
        <f>SUM(G175)</f>
        <v>188.5</v>
      </c>
      <c r="H174" s="26">
        <f>SUM(H175)</f>
        <v>227.3</v>
      </c>
      <c r="I174" s="26">
        <f t="shared" si="5"/>
        <v>120.58355437665782</v>
      </c>
      <c r="J174"/>
    </row>
    <row r="175" spans="1:10" ht="31.5" customHeight="1">
      <c r="A175" s="38" t="s">
        <v>986</v>
      </c>
      <c r="B175" s="50"/>
      <c r="C175" s="51" t="s">
        <v>1150</v>
      </c>
      <c r="D175" s="51" t="s">
        <v>971</v>
      </c>
      <c r="E175" s="51" t="s">
        <v>987</v>
      </c>
      <c r="F175" s="52"/>
      <c r="G175" s="26">
        <f>SUM(G176)</f>
        <v>188.5</v>
      </c>
      <c r="H175" s="26">
        <f>SUM(H176)</f>
        <v>227.3</v>
      </c>
      <c r="I175" s="26">
        <f t="shared" si="5"/>
        <v>120.58355437665782</v>
      </c>
      <c r="J175"/>
    </row>
    <row r="176" spans="1:13" ht="19.5" customHeight="1">
      <c r="A176" s="27" t="s">
        <v>1147</v>
      </c>
      <c r="B176" s="50"/>
      <c r="C176" s="51" t="s">
        <v>1150</v>
      </c>
      <c r="D176" s="51" t="s">
        <v>971</v>
      </c>
      <c r="E176" s="51" t="s">
        <v>987</v>
      </c>
      <c r="F176" s="52" t="s">
        <v>1148</v>
      </c>
      <c r="G176" s="26">
        <v>188.5</v>
      </c>
      <c r="H176" s="26">
        <v>227.3</v>
      </c>
      <c r="I176" s="26">
        <f t="shared" si="5"/>
        <v>120.58355437665782</v>
      </c>
      <c r="J176" s="180">
        <f>SUM('[1]ведомствен.2012'!G295)</f>
        <v>188.5</v>
      </c>
      <c r="M176" s="180" t="e">
        <f>SUM(#REF!)</f>
        <v>#REF!</v>
      </c>
    </row>
    <row r="177" spans="1:10" ht="45.75" customHeight="1">
      <c r="A177" s="35" t="s">
        <v>495</v>
      </c>
      <c r="B177" s="23"/>
      <c r="C177" s="37" t="s">
        <v>1150</v>
      </c>
      <c r="D177" s="37" t="s">
        <v>971</v>
      </c>
      <c r="E177" s="37" t="s">
        <v>988</v>
      </c>
      <c r="F177" s="28"/>
      <c r="G177" s="26">
        <f>SUM(G178)</f>
        <v>12078.1</v>
      </c>
      <c r="H177" s="26">
        <f>SUM(H178)</f>
        <v>5387.8</v>
      </c>
      <c r="I177" s="26">
        <f t="shared" si="5"/>
        <v>44.60800953792401</v>
      </c>
      <c r="J177"/>
    </row>
    <row r="178" spans="1:10" ht="29.25" customHeight="1">
      <c r="A178" s="35" t="s">
        <v>493</v>
      </c>
      <c r="B178" s="23"/>
      <c r="C178" s="37" t="s">
        <v>1150</v>
      </c>
      <c r="D178" s="37" t="s">
        <v>971</v>
      </c>
      <c r="E178" s="37" t="s">
        <v>989</v>
      </c>
      <c r="F178" s="28"/>
      <c r="G178" s="26">
        <f>SUM(G179)</f>
        <v>12078.1</v>
      </c>
      <c r="H178" s="26">
        <f>SUM(H179)</f>
        <v>5387.8</v>
      </c>
      <c r="I178" s="26">
        <f t="shared" si="5"/>
        <v>44.60800953792401</v>
      </c>
      <c r="J178"/>
    </row>
    <row r="179" spans="1:13" ht="15.75" customHeight="1">
      <c r="A179" s="41" t="s">
        <v>494</v>
      </c>
      <c r="B179" s="56"/>
      <c r="C179" s="57" t="s">
        <v>1150</v>
      </c>
      <c r="D179" s="57" t="s">
        <v>971</v>
      </c>
      <c r="E179" s="57" t="s">
        <v>989</v>
      </c>
      <c r="F179" s="29" t="s">
        <v>142</v>
      </c>
      <c r="G179" s="26">
        <v>12078.1</v>
      </c>
      <c r="H179" s="26">
        <v>5387.8</v>
      </c>
      <c r="I179" s="26">
        <f t="shared" si="5"/>
        <v>44.60800953792401</v>
      </c>
      <c r="J179" s="180">
        <f>SUM('[1]ведомствен.2012'!G298)+'[1]ведомствен.2012'!G647</f>
        <v>12078.1</v>
      </c>
      <c r="M179" s="180" t="e">
        <f>SUM(#REF!)</f>
        <v>#REF!</v>
      </c>
    </row>
    <row r="180" spans="1:9" s="58" customFormat="1" ht="16.5" customHeight="1" hidden="1">
      <c r="A180" s="27" t="s">
        <v>990</v>
      </c>
      <c r="B180" s="56"/>
      <c r="C180" s="57" t="s">
        <v>1150</v>
      </c>
      <c r="D180" s="57" t="s">
        <v>971</v>
      </c>
      <c r="E180" s="57" t="s">
        <v>991</v>
      </c>
      <c r="F180" s="29"/>
      <c r="G180" s="26">
        <f>SUM(G182)</f>
        <v>0</v>
      </c>
      <c r="H180" s="26">
        <f>SUM(H182)</f>
        <v>0</v>
      </c>
      <c r="I180" s="26" t="e">
        <f t="shared" si="5"/>
        <v>#DIV/0!</v>
      </c>
    </row>
    <row r="181" spans="1:9" s="58" customFormat="1" ht="16.5" customHeight="1" hidden="1">
      <c r="A181" s="38" t="s">
        <v>992</v>
      </c>
      <c r="B181" s="23"/>
      <c r="C181" s="37" t="s">
        <v>1150</v>
      </c>
      <c r="D181" s="37" t="s">
        <v>971</v>
      </c>
      <c r="E181" s="51" t="s">
        <v>993</v>
      </c>
      <c r="F181" s="28"/>
      <c r="G181" s="26">
        <f>SUM(G182)</f>
        <v>0</v>
      </c>
      <c r="H181" s="26">
        <f>SUM(H182)</f>
        <v>0</v>
      </c>
      <c r="I181" s="26" t="e">
        <f t="shared" si="5"/>
        <v>#DIV/0!</v>
      </c>
    </row>
    <row r="182" spans="1:10" ht="58.5" customHeight="1" hidden="1">
      <c r="A182" s="38" t="s">
        <v>994</v>
      </c>
      <c r="B182" s="23"/>
      <c r="C182" s="37" t="s">
        <v>1150</v>
      </c>
      <c r="D182" s="37" t="s">
        <v>971</v>
      </c>
      <c r="E182" s="51" t="s">
        <v>993</v>
      </c>
      <c r="F182" s="28" t="s">
        <v>995</v>
      </c>
      <c r="G182" s="26"/>
      <c r="H182" s="26"/>
      <c r="I182" s="26" t="e">
        <f t="shared" si="5"/>
        <v>#DIV/0!</v>
      </c>
      <c r="J182"/>
    </row>
    <row r="183" spans="1:10" ht="28.5" customHeight="1" hidden="1">
      <c r="A183" s="38" t="s">
        <v>996</v>
      </c>
      <c r="B183" s="23"/>
      <c r="C183" s="37" t="s">
        <v>1150</v>
      </c>
      <c r="D183" s="37" t="s">
        <v>664</v>
      </c>
      <c r="E183" s="51"/>
      <c r="F183" s="28"/>
      <c r="G183" s="26">
        <f>SUM(G184+G187)</f>
        <v>0</v>
      </c>
      <c r="H183" s="26">
        <f>SUM(H184+H187)</f>
        <v>0</v>
      </c>
      <c r="I183" s="26" t="e">
        <f t="shared" si="5"/>
        <v>#DIV/0!</v>
      </c>
      <c r="J183"/>
    </row>
    <row r="184" spans="1:10" ht="15.75" customHeight="1" hidden="1">
      <c r="A184" s="38" t="s">
        <v>990</v>
      </c>
      <c r="B184" s="23"/>
      <c r="C184" s="37" t="s">
        <v>1150</v>
      </c>
      <c r="D184" s="37" t="s">
        <v>664</v>
      </c>
      <c r="E184" s="51" t="s">
        <v>991</v>
      </c>
      <c r="F184" s="28"/>
      <c r="G184" s="26">
        <f>SUM(G185)</f>
        <v>0</v>
      </c>
      <c r="H184" s="26">
        <f>SUM(H185)</f>
        <v>0</v>
      </c>
      <c r="I184" s="26" t="e">
        <f t="shared" si="5"/>
        <v>#DIV/0!</v>
      </c>
      <c r="J184"/>
    </row>
    <row r="185" spans="1:10" ht="16.5" customHeight="1" hidden="1">
      <c r="A185" s="38" t="s">
        <v>997</v>
      </c>
      <c r="B185" s="23"/>
      <c r="C185" s="37" t="s">
        <v>1150</v>
      </c>
      <c r="D185" s="37" t="s">
        <v>664</v>
      </c>
      <c r="E185" s="51" t="s">
        <v>993</v>
      </c>
      <c r="F185" s="28"/>
      <c r="G185" s="26">
        <f>SUM(G186)</f>
        <v>0</v>
      </c>
      <c r="H185" s="26">
        <f>SUM(H186)</f>
        <v>0</v>
      </c>
      <c r="I185" s="26" t="e">
        <f t="shared" si="5"/>
        <v>#DIV/0!</v>
      </c>
      <c r="J185"/>
    </row>
    <row r="186" spans="1:10" ht="13.5" customHeight="1" hidden="1">
      <c r="A186" s="262" t="s">
        <v>198</v>
      </c>
      <c r="B186" s="23"/>
      <c r="C186" s="37" t="s">
        <v>1150</v>
      </c>
      <c r="D186" s="37" t="s">
        <v>664</v>
      </c>
      <c r="E186" s="51" t="s">
        <v>993</v>
      </c>
      <c r="F186" s="28" t="s">
        <v>199</v>
      </c>
      <c r="G186" s="26"/>
      <c r="H186" s="26"/>
      <c r="I186" s="26" t="e">
        <f t="shared" si="5"/>
        <v>#DIV/0!</v>
      </c>
      <c r="J186"/>
    </row>
    <row r="187" spans="1:10" ht="15" customHeight="1" hidden="1">
      <c r="A187" s="38" t="s">
        <v>990</v>
      </c>
      <c r="B187" s="23"/>
      <c r="C187" s="37" t="s">
        <v>1150</v>
      </c>
      <c r="D187" s="37" t="s">
        <v>998</v>
      </c>
      <c r="E187" s="51" t="s">
        <v>991</v>
      </c>
      <c r="F187" s="28"/>
      <c r="G187" s="26">
        <f>SUM(G188)</f>
        <v>0</v>
      </c>
      <c r="H187" s="26">
        <f>SUM(H188)</f>
        <v>0</v>
      </c>
      <c r="I187" s="26" t="e">
        <f t="shared" si="5"/>
        <v>#DIV/0!</v>
      </c>
      <c r="J187"/>
    </row>
    <row r="188" spans="1:10" ht="42.75" customHeight="1" hidden="1">
      <c r="A188" s="38" t="s">
        <v>997</v>
      </c>
      <c r="B188" s="23"/>
      <c r="C188" s="37" t="s">
        <v>1150</v>
      </c>
      <c r="D188" s="37" t="s">
        <v>998</v>
      </c>
      <c r="E188" s="51" t="s">
        <v>993</v>
      </c>
      <c r="F188" s="28"/>
      <c r="G188" s="26"/>
      <c r="H188" s="26"/>
      <c r="I188" s="26" t="e">
        <f t="shared" si="5"/>
        <v>#DIV/0!</v>
      </c>
      <c r="J188"/>
    </row>
    <row r="189" spans="1:10" ht="14.25" customHeight="1" hidden="1">
      <c r="A189" s="262" t="s">
        <v>198</v>
      </c>
      <c r="B189" s="23"/>
      <c r="C189" s="37" t="s">
        <v>1150</v>
      </c>
      <c r="D189" s="37" t="s">
        <v>998</v>
      </c>
      <c r="E189" s="51" t="s">
        <v>993</v>
      </c>
      <c r="F189" s="28" t="s">
        <v>199</v>
      </c>
      <c r="G189" s="26">
        <f>SUM('[2]Ведомств.'!F141)</f>
        <v>0</v>
      </c>
      <c r="H189" s="26">
        <f>SUM('[2]Ведомств.'!G141)</f>
        <v>0</v>
      </c>
      <c r="I189" s="26" t="e">
        <f t="shared" si="5"/>
        <v>#DIV/0!</v>
      </c>
      <c r="J189"/>
    </row>
    <row r="190" spans="1:10" ht="15" customHeight="1" hidden="1">
      <c r="A190" s="38"/>
      <c r="B190" s="23"/>
      <c r="C190" s="37"/>
      <c r="D190" s="37"/>
      <c r="E190" s="51"/>
      <c r="F190" s="28"/>
      <c r="G190" s="26"/>
      <c r="H190" s="26"/>
      <c r="I190" s="26" t="e">
        <f t="shared" si="5"/>
        <v>#DIV/0!</v>
      </c>
      <c r="J190"/>
    </row>
    <row r="191" spans="1:12" s="22" customFormat="1" ht="15.75">
      <c r="A191" s="263" t="s">
        <v>1173</v>
      </c>
      <c r="B191" s="42"/>
      <c r="C191" s="59" t="s">
        <v>1174</v>
      </c>
      <c r="D191" s="59"/>
      <c r="E191" s="59"/>
      <c r="F191" s="60"/>
      <c r="G191" s="45">
        <f>SUM(G192+G210)</f>
        <v>104274.5</v>
      </c>
      <c r="H191" s="45" t="e">
        <f>SUM(H192+H210)</f>
        <v>#REF!</v>
      </c>
      <c r="I191" s="45" t="e">
        <f t="shared" si="5"/>
        <v>#REF!</v>
      </c>
      <c r="K191" s="22">
        <f>SUM(J192:J230)</f>
        <v>104274.5</v>
      </c>
      <c r="L191" s="22">
        <f>SUM('[1]ведомствен.2012'!G46+'[1]ведомствен.2012'!G306+'[1]ведомствен.2012'!G648+'[1]ведомствен.2012'!G877)</f>
        <v>104274.5</v>
      </c>
    </row>
    <row r="192" spans="1:10" ht="14.25" customHeight="1">
      <c r="A192" s="35" t="s">
        <v>1175</v>
      </c>
      <c r="B192" s="23"/>
      <c r="C192" s="24" t="s">
        <v>1174</v>
      </c>
      <c r="D192" s="24" t="s">
        <v>1176</v>
      </c>
      <c r="E192" s="24"/>
      <c r="F192" s="25"/>
      <c r="G192" s="26">
        <f>SUM(G200)+G195+G193+G206</f>
        <v>85233.6</v>
      </c>
      <c r="H192" s="26">
        <f>SUM(H200)+H195+H193</f>
        <v>55910.700000000004</v>
      </c>
      <c r="I192" s="26">
        <f t="shared" si="5"/>
        <v>65.59701807737794</v>
      </c>
      <c r="J192"/>
    </row>
    <row r="193" spans="1:10" ht="33" customHeight="1">
      <c r="A193" s="35" t="s">
        <v>999</v>
      </c>
      <c r="B193" s="23"/>
      <c r="C193" s="24" t="s">
        <v>1174</v>
      </c>
      <c r="D193" s="24" t="s">
        <v>1176</v>
      </c>
      <c r="E193" s="37" t="s">
        <v>1000</v>
      </c>
      <c r="F193" s="28"/>
      <c r="G193" s="26">
        <f>SUM(G194)+G197+G198</f>
        <v>36347.3</v>
      </c>
      <c r="H193" s="26">
        <f>SUM(H194)+H197+H198</f>
        <v>25204.300000000003</v>
      </c>
      <c r="I193" s="26">
        <f t="shared" si="5"/>
        <v>69.34297733256666</v>
      </c>
      <c r="J193"/>
    </row>
    <row r="194" spans="1:13" ht="16.5" customHeight="1">
      <c r="A194" s="35" t="s">
        <v>1001</v>
      </c>
      <c r="B194" s="23"/>
      <c r="C194" s="24" t="s">
        <v>1174</v>
      </c>
      <c r="D194" s="24" t="s">
        <v>1176</v>
      </c>
      <c r="E194" s="37" t="s">
        <v>1000</v>
      </c>
      <c r="F194" s="25" t="s">
        <v>1002</v>
      </c>
      <c r="G194" s="26">
        <v>36347.3</v>
      </c>
      <c r="H194" s="26">
        <v>24333.9</v>
      </c>
      <c r="I194" s="26">
        <f t="shared" si="5"/>
        <v>66.94830152445986</v>
      </c>
      <c r="J194" s="180">
        <f>SUM('[1]ведомствен.2012'!G49+'[1]ведомствен.2012'!G651)</f>
        <v>36347.3</v>
      </c>
      <c r="M194" s="180" t="e">
        <f>SUM(#REF!+#REF!+#REF!)</f>
        <v>#REF!</v>
      </c>
    </row>
    <row r="195" spans="1:10" ht="11.25" customHeight="1" hidden="1">
      <c r="A195" s="35" t="s">
        <v>660</v>
      </c>
      <c r="B195" s="23"/>
      <c r="C195" s="24" t="s">
        <v>1174</v>
      </c>
      <c r="D195" s="24" t="s">
        <v>1176</v>
      </c>
      <c r="E195" s="37" t="s">
        <v>662</v>
      </c>
      <c r="F195" s="28"/>
      <c r="G195" s="26">
        <f>SUM(G196)</f>
        <v>0</v>
      </c>
      <c r="H195" s="26">
        <f>SUM(H196)</f>
        <v>0</v>
      </c>
      <c r="I195" s="26" t="e">
        <f t="shared" si="5"/>
        <v>#DIV/0!</v>
      </c>
      <c r="J195"/>
    </row>
    <row r="196" spans="1:10" ht="11.25" customHeight="1" hidden="1">
      <c r="A196" s="35" t="s">
        <v>1003</v>
      </c>
      <c r="B196" s="23"/>
      <c r="C196" s="24" t="s">
        <v>1174</v>
      </c>
      <c r="D196" s="24" t="s">
        <v>1176</v>
      </c>
      <c r="E196" s="37" t="s">
        <v>662</v>
      </c>
      <c r="F196" s="28" t="s">
        <v>1004</v>
      </c>
      <c r="G196" s="26"/>
      <c r="H196" s="26"/>
      <c r="I196" s="26" t="e">
        <f t="shared" si="5"/>
        <v>#DIV/0!</v>
      </c>
      <c r="J196"/>
    </row>
    <row r="197" spans="1:10" ht="25.5" customHeight="1" hidden="1">
      <c r="A197" s="27" t="s">
        <v>1147</v>
      </c>
      <c r="B197" s="23"/>
      <c r="C197" s="24" t="s">
        <v>1174</v>
      </c>
      <c r="D197" s="24" t="s">
        <v>1176</v>
      </c>
      <c r="E197" s="37" t="s">
        <v>1000</v>
      </c>
      <c r="F197" s="28" t="s">
        <v>1148</v>
      </c>
      <c r="G197" s="26"/>
      <c r="H197" s="26"/>
      <c r="I197" s="26" t="e">
        <f t="shared" si="5"/>
        <v>#DIV/0!</v>
      </c>
      <c r="J197"/>
    </row>
    <row r="198" spans="1:10" ht="72.75" customHeight="1" hidden="1">
      <c r="A198" s="264" t="s">
        <v>1074</v>
      </c>
      <c r="B198" s="23"/>
      <c r="C198" s="24" t="s">
        <v>1174</v>
      </c>
      <c r="D198" s="24" t="s">
        <v>1176</v>
      </c>
      <c r="E198" s="37" t="s">
        <v>1075</v>
      </c>
      <c r="F198" s="28"/>
      <c r="G198" s="26">
        <f>SUM(G199)</f>
        <v>0</v>
      </c>
      <c r="H198" s="26">
        <f>SUM(H199)</f>
        <v>870.4</v>
      </c>
      <c r="I198" s="26" t="e">
        <f t="shared" si="5"/>
        <v>#DIV/0!</v>
      </c>
      <c r="J198"/>
    </row>
    <row r="199" spans="1:10" ht="18" customHeight="1" hidden="1">
      <c r="A199" s="35" t="s">
        <v>1001</v>
      </c>
      <c r="B199" s="23"/>
      <c r="C199" s="24" t="s">
        <v>1174</v>
      </c>
      <c r="D199" s="24" t="s">
        <v>1176</v>
      </c>
      <c r="E199" s="37" t="s">
        <v>1075</v>
      </c>
      <c r="F199" s="28" t="s">
        <v>1002</v>
      </c>
      <c r="G199" s="26"/>
      <c r="H199" s="26">
        <v>870.4</v>
      </c>
      <c r="I199" s="26" t="e">
        <f t="shared" si="5"/>
        <v>#DIV/0!</v>
      </c>
      <c r="J199"/>
    </row>
    <row r="200" spans="1:10" ht="16.5" customHeight="1">
      <c r="A200" s="35" t="s">
        <v>1177</v>
      </c>
      <c r="B200" s="23"/>
      <c r="C200" s="24" t="s">
        <v>1174</v>
      </c>
      <c r="D200" s="24" t="s">
        <v>1176</v>
      </c>
      <c r="E200" s="24" t="s">
        <v>32</v>
      </c>
      <c r="F200" s="25"/>
      <c r="G200" s="26">
        <f>SUM(G201)</f>
        <v>48886.3</v>
      </c>
      <c r="H200" s="26">
        <f>SUM(H201)</f>
        <v>30706.4</v>
      </c>
      <c r="I200" s="26">
        <f t="shared" si="5"/>
        <v>62.811871628656704</v>
      </c>
      <c r="J200"/>
    </row>
    <row r="201" spans="1:10" ht="27" customHeight="1">
      <c r="A201" s="35" t="s">
        <v>1016</v>
      </c>
      <c r="B201" s="23"/>
      <c r="C201" s="24" t="s">
        <v>1174</v>
      </c>
      <c r="D201" s="24" t="s">
        <v>1176</v>
      </c>
      <c r="E201" s="24" t="s">
        <v>308</v>
      </c>
      <c r="F201" s="25"/>
      <c r="G201" s="26">
        <f>SUM(G202)+G203+G205</f>
        <v>48886.3</v>
      </c>
      <c r="H201" s="26">
        <f>SUM(H202)+H203</f>
        <v>30706.4</v>
      </c>
      <c r="I201" s="26">
        <f t="shared" si="5"/>
        <v>62.811871628656704</v>
      </c>
      <c r="J201"/>
    </row>
    <row r="202" spans="1:13" ht="29.25" customHeight="1">
      <c r="A202" s="35" t="s">
        <v>754</v>
      </c>
      <c r="B202" s="23"/>
      <c r="C202" s="24" t="s">
        <v>1174</v>
      </c>
      <c r="D202" s="24" t="s">
        <v>1176</v>
      </c>
      <c r="E202" s="24" t="s">
        <v>309</v>
      </c>
      <c r="F202" s="25"/>
      <c r="G202" s="26">
        <v>48886.3</v>
      </c>
      <c r="H202" s="26">
        <v>30706.4</v>
      </c>
      <c r="I202" s="26">
        <f t="shared" si="5"/>
        <v>62.811871628656704</v>
      </c>
      <c r="J202" s="180">
        <f>SUM('[1]ведомствен.2012'!G54)</f>
        <v>48886.3</v>
      </c>
      <c r="M202" s="180" t="e">
        <f>SUM(#REF!+#REF!)</f>
        <v>#REF!</v>
      </c>
    </row>
    <row r="203" spans="1:10" ht="57" customHeight="1" hidden="1">
      <c r="A203" s="35" t="s">
        <v>1077</v>
      </c>
      <c r="B203" s="23"/>
      <c r="C203" s="24" t="s">
        <v>1174</v>
      </c>
      <c r="D203" s="24" t="s">
        <v>1176</v>
      </c>
      <c r="E203" s="24" t="s">
        <v>1078</v>
      </c>
      <c r="F203" s="25"/>
      <c r="G203" s="26"/>
      <c r="H203" s="26">
        <f>SUM(H204)</f>
        <v>0</v>
      </c>
      <c r="I203" s="26" t="e">
        <f t="shared" si="5"/>
        <v>#DIV/0!</v>
      </c>
      <c r="J203"/>
    </row>
    <row r="204" spans="1:10" ht="15" hidden="1">
      <c r="A204" s="35" t="s">
        <v>1001</v>
      </c>
      <c r="B204" s="23"/>
      <c r="C204" s="24" t="s">
        <v>1174</v>
      </c>
      <c r="D204" s="24" t="s">
        <v>1176</v>
      </c>
      <c r="E204" s="24" t="s">
        <v>1078</v>
      </c>
      <c r="F204" s="25" t="s">
        <v>1002</v>
      </c>
      <c r="G204" s="26"/>
      <c r="H204" s="26"/>
      <c r="I204" s="26" t="e">
        <f t="shared" si="5"/>
        <v>#DIV/0!</v>
      </c>
      <c r="J204"/>
    </row>
    <row r="205" spans="1:10" ht="15" customHeight="1" hidden="1">
      <c r="A205" s="27" t="s">
        <v>1147</v>
      </c>
      <c r="B205" s="23"/>
      <c r="C205" s="24" t="s">
        <v>1174</v>
      </c>
      <c r="D205" s="24" t="s">
        <v>1176</v>
      </c>
      <c r="E205" s="24" t="s">
        <v>1076</v>
      </c>
      <c r="F205" s="25" t="s">
        <v>1148</v>
      </c>
      <c r="G205" s="26"/>
      <c r="H205" s="26"/>
      <c r="I205" s="26"/>
      <c r="J205"/>
    </row>
    <row r="206" spans="1:9" s="333" customFormat="1" ht="28.5" customHeight="1" hidden="1">
      <c r="A206" s="38" t="s">
        <v>980</v>
      </c>
      <c r="B206" s="32"/>
      <c r="C206" s="84" t="s">
        <v>1174</v>
      </c>
      <c r="D206" s="84" t="s">
        <v>1176</v>
      </c>
      <c r="E206" s="84" t="s">
        <v>933</v>
      </c>
      <c r="F206" s="49"/>
      <c r="G206" s="54">
        <f>SUM(G207)</f>
        <v>0</v>
      </c>
      <c r="H206" s="54"/>
      <c r="I206" s="54"/>
    </row>
    <row r="207" spans="1:9" s="333" customFormat="1" ht="28.5" customHeight="1" hidden="1">
      <c r="A207" s="38" t="s">
        <v>981</v>
      </c>
      <c r="B207" s="32"/>
      <c r="C207" s="84" t="s">
        <v>910</v>
      </c>
      <c r="D207" s="84" t="s">
        <v>1176</v>
      </c>
      <c r="E207" s="84" t="s">
        <v>935</v>
      </c>
      <c r="F207" s="49"/>
      <c r="G207" s="54">
        <f>SUM(G209)</f>
        <v>0</v>
      </c>
      <c r="H207" s="54"/>
      <c r="I207" s="54"/>
    </row>
    <row r="208" spans="1:9" s="2" customFormat="1" ht="43.5" customHeight="1">
      <c r="A208" s="110" t="s">
        <v>1017</v>
      </c>
      <c r="B208" s="108"/>
      <c r="C208" s="33" t="s">
        <v>1174</v>
      </c>
      <c r="D208" s="33" t="s">
        <v>1176</v>
      </c>
      <c r="E208" s="33" t="s">
        <v>309</v>
      </c>
      <c r="F208" s="103" t="s">
        <v>496</v>
      </c>
      <c r="G208" s="54">
        <v>51090.9</v>
      </c>
      <c r="H208" s="54"/>
      <c r="I208" s="54"/>
    </row>
    <row r="209" spans="1:9" s="333" customFormat="1" ht="15" hidden="1">
      <c r="A209" s="35" t="s">
        <v>1001</v>
      </c>
      <c r="B209" s="32"/>
      <c r="C209" s="84" t="s">
        <v>1174</v>
      </c>
      <c r="D209" s="84" t="s">
        <v>1176</v>
      </c>
      <c r="E209" s="84" t="s">
        <v>935</v>
      </c>
      <c r="F209" s="49" t="s">
        <v>1002</v>
      </c>
      <c r="G209" s="54"/>
      <c r="H209" s="54"/>
      <c r="I209" s="54"/>
    </row>
    <row r="210" spans="1:10" ht="14.25" customHeight="1">
      <c r="A210" s="262" t="s">
        <v>35</v>
      </c>
      <c r="B210" s="36"/>
      <c r="C210" s="37" t="s">
        <v>1174</v>
      </c>
      <c r="D210" s="37" t="s">
        <v>661</v>
      </c>
      <c r="E210" s="37"/>
      <c r="F210" s="28"/>
      <c r="G210" s="26">
        <f>SUM(G211+G216+G221)</f>
        <v>19040.9</v>
      </c>
      <c r="H210" s="26" t="e">
        <f>SUM(H211+H216+H221+#REF!)</f>
        <v>#REF!</v>
      </c>
      <c r="I210" s="26" t="e">
        <f aca="true" t="shared" si="6" ref="I210:I215">SUM(H210/G210*100)</f>
        <v>#REF!</v>
      </c>
      <c r="J210"/>
    </row>
    <row r="211" spans="1:10" ht="28.5" customHeight="1">
      <c r="A211" s="61" t="s">
        <v>1079</v>
      </c>
      <c r="B211" s="37"/>
      <c r="C211" s="37" t="s">
        <v>1174</v>
      </c>
      <c r="D211" s="37" t="s">
        <v>661</v>
      </c>
      <c r="E211" s="37" t="s">
        <v>1080</v>
      </c>
      <c r="F211" s="28"/>
      <c r="G211" s="26">
        <f>SUM(G212+G215)</f>
        <v>4915.9</v>
      </c>
      <c r="H211" s="26">
        <f>SUM(H212)</f>
        <v>0</v>
      </c>
      <c r="I211" s="26">
        <f t="shared" si="6"/>
        <v>0</v>
      </c>
      <c r="J211"/>
    </row>
    <row r="212" spans="1:13" ht="18.75" customHeight="1">
      <c r="A212" s="27" t="s">
        <v>1147</v>
      </c>
      <c r="B212" s="37"/>
      <c r="C212" s="37" t="s">
        <v>1174</v>
      </c>
      <c r="D212" s="37" t="s">
        <v>661</v>
      </c>
      <c r="E212" s="37" t="s">
        <v>1080</v>
      </c>
      <c r="F212" s="28" t="s">
        <v>1148</v>
      </c>
      <c r="G212" s="26">
        <v>680</v>
      </c>
      <c r="H212" s="26"/>
      <c r="I212" s="26">
        <f t="shared" si="6"/>
        <v>0</v>
      </c>
      <c r="J212" s="180">
        <f>SUM('[1]ведомствен.2012'!G321)</f>
        <v>680</v>
      </c>
      <c r="M212" s="180" t="e">
        <f>SUM(#REF!)</f>
        <v>#REF!</v>
      </c>
    </row>
    <row r="213" spans="1:9" s="58" customFormat="1" ht="15">
      <c r="A213" s="285" t="s">
        <v>492</v>
      </c>
      <c r="B213" s="23"/>
      <c r="C213" s="37" t="s">
        <v>1174</v>
      </c>
      <c r="D213" s="37" t="s">
        <v>661</v>
      </c>
      <c r="E213" s="24" t="s">
        <v>1014</v>
      </c>
      <c r="F213" s="28"/>
      <c r="G213" s="26">
        <f>SUM(G214)</f>
        <v>4235.9</v>
      </c>
      <c r="H213" s="26">
        <f>SUM(H214)</f>
        <v>200</v>
      </c>
      <c r="I213" s="26">
        <f t="shared" si="6"/>
        <v>4.7215467787247105</v>
      </c>
    </row>
    <row r="214" spans="1:9" s="58" customFormat="1" ht="48.75" customHeight="1">
      <c r="A214" s="285" t="s">
        <v>754</v>
      </c>
      <c r="B214" s="23"/>
      <c r="C214" s="37" t="s">
        <v>1174</v>
      </c>
      <c r="D214" s="37" t="s">
        <v>661</v>
      </c>
      <c r="E214" s="24" t="s">
        <v>1015</v>
      </c>
      <c r="F214" s="28"/>
      <c r="G214" s="26">
        <f>SUM(G215)</f>
        <v>4235.9</v>
      </c>
      <c r="H214" s="26">
        <f>SUM(H215)</f>
        <v>200</v>
      </c>
      <c r="I214" s="26">
        <f t="shared" si="6"/>
        <v>4.7215467787247105</v>
      </c>
    </row>
    <row r="215" spans="1:10" s="58" customFormat="1" ht="58.5" customHeight="1">
      <c r="A215" s="286" t="s">
        <v>1017</v>
      </c>
      <c r="B215" s="23"/>
      <c r="C215" s="37" t="s">
        <v>1174</v>
      </c>
      <c r="D215" s="37" t="s">
        <v>661</v>
      </c>
      <c r="E215" s="24" t="s">
        <v>1015</v>
      </c>
      <c r="F215" s="28" t="s">
        <v>496</v>
      </c>
      <c r="G215" s="26">
        <v>4235.9</v>
      </c>
      <c r="H215" s="26">
        <v>200</v>
      </c>
      <c r="I215" s="26">
        <f t="shared" si="6"/>
        <v>4.7215467787247105</v>
      </c>
      <c r="J215" s="180">
        <f>SUM('[1]ведомствен.2012'!G324)</f>
        <v>4235.9</v>
      </c>
    </row>
    <row r="216" spans="1:10" ht="28.5">
      <c r="A216" s="35" t="s">
        <v>37</v>
      </c>
      <c r="B216" s="23"/>
      <c r="C216" s="37" t="s">
        <v>1174</v>
      </c>
      <c r="D216" s="37" t="s">
        <v>661</v>
      </c>
      <c r="E216" s="24" t="s">
        <v>38</v>
      </c>
      <c r="F216" s="28"/>
      <c r="G216" s="26">
        <f>SUM(G217)</f>
        <v>4900</v>
      </c>
      <c r="H216" s="26">
        <f>SUM(H217)</f>
        <v>200</v>
      </c>
      <c r="I216" s="26">
        <f aca="true" t="shared" si="7" ref="I216:I279">SUM(H216/G216*100)</f>
        <v>4.081632653061225</v>
      </c>
      <c r="J216"/>
    </row>
    <row r="217" spans="1:10" ht="18" customHeight="1">
      <c r="A217" s="35" t="s">
        <v>1081</v>
      </c>
      <c r="B217" s="23"/>
      <c r="C217" s="37" t="s">
        <v>1174</v>
      </c>
      <c r="D217" s="37" t="s">
        <v>661</v>
      </c>
      <c r="E217" s="24" t="s">
        <v>1082</v>
      </c>
      <c r="F217" s="28"/>
      <c r="G217" s="26">
        <f>SUM(G218)</f>
        <v>4900</v>
      </c>
      <c r="H217" s="26">
        <f>SUM(H218)</f>
        <v>200</v>
      </c>
      <c r="I217" s="26">
        <f t="shared" si="7"/>
        <v>4.081632653061225</v>
      </c>
      <c r="J217"/>
    </row>
    <row r="218" spans="1:13" ht="15.75" customHeight="1">
      <c r="A218" s="27" t="s">
        <v>1147</v>
      </c>
      <c r="B218" s="23"/>
      <c r="C218" s="37" t="s">
        <v>1174</v>
      </c>
      <c r="D218" s="37" t="s">
        <v>661</v>
      </c>
      <c r="E218" s="24" t="s">
        <v>1082</v>
      </c>
      <c r="F218" s="28" t="s">
        <v>1148</v>
      </c>
      <c r="G218" s="26">
        <v>4900</v>
      </c>
      <c r="H218" s="26">
        <v>200</v>
      </c>
      <c r="I218" s="26">
        <f t="shared" si="7"/>
        <v>4.081632653061225</v>
      </c>
      <c r="J218" s="180">
        <f>SUM('[1]ведомствен.2012'!G892)</f>
        <v>4900</v>
      </c>
      <c r="K218" s="180"/>
      <c r="M218" s="180" t="e">
        <f>SUM(#REF!+#REF!)</f>
        <v>#REF!</v>
      </c>
    </row>
    <row r="219" spans="1:10" ht="28.5" customHeight="1" hidden="1">
      <c r="A219" s="35" t="s">
        <v>37</v>
      </c>
      <c r="B219" s="23"/>
      <c r="C219" s="37" t="s">
        <v>1174</v>
      </c>
      <c r="D219" s="37" t="s">
        <v>661</v>
      </c>
      <c r="E219" s="24" t="s">
        <v>38</v>
      </c>
      <c r="F219" s="28"/>
      <c r="G219" s="26">
        <f>SUM(G220)</f>
        <v>0</v>
      </c>
      <c r="H219" s="26">
        <f>SUM(H220)</f>
        <v>0</v>
      </c>
      <c r="I219" s="26" t="e">
        <f t="shared" si="7"/>
        <v>#DIV/0!</v>
      </c>
      <c r="J219"/>
    </row>
    <row r="220" spans="1:10" ht="15" customHeight="1" hidden="1">
      <c r="A220" s="35" t="s">
        <v>1068</v>
      </c>
      <c r="B220" s="23"/>
      <c r="C220" s="37" t="s">
        <v>1174</v>
      </c>
      <c r="D220" s="37" t="s">
        <v>661</v>
      </c>
      <c r="E220" s="24" t="s">
        <v>38</v>
      </c>
      <c r="F220" s="28" t="s">
        <v>1069</v>
      </c>
      <c r="G220" s="26"/>
      <c r="H220" s="26"/>
      <c r="I220" s="26" t="e">
        <f t="shared" si="7"/>
        <v>#DIV/0!</v>
      </c>
      <c r="J220"/>
    </row>
    <row r="221" spans="1:10" ht="22.5" customHeight="1">
      <c r="A221" s="35" t="s">
        <v>1186</v>
      </c>
      <c r="B221" s="23"/>
      <c r="C221" s="37" t="s">
        <v>1174</v>
      </c>
      <c r="D221" s="37" t="s">
        <v>661</v>
      </c>
      <c r="E221" s="24" t="s">
        <v>1187</v>
      </c>
      <c r="F221" s="28"/>
      <c r="G221" s="26">
        <f>SUM(G222,G229)+G224+G226</f>
        <v>9225</v>
      </c>
      <c r="H221" s="26">
        <f>SUM(H222)</f>
        <v>0</v>
      </c>
      <c r="I221" s="26">
        <f t="shared" si="7"/>
        <v>0</v>
      </c>
      <c r="J221"/>
    </row>
    <row r="222" spans="1:10" ht="42" customHeight="1">
      <c r="A222" s="265" t="s">
        <v>209</v>
      </c>
      <c r="B222" s="23"/>
      <c r="C222" s="37" t="s">
        <v>1174</v>
      </c>
      <c r="D222" s="37" t="s">
        <v>661</v>
      </c>
      <c r="E222" s="24" t="s">
        <v>1084</v>
      </c>
      <c r="F222" s="28"/>
      <c r="G222" s="26">
        <f>SUM(G223)</f>
        <v>725</v>
      </c>
      <c r="H222" s="26">
        <f>SUM(H223)</f>
        <v>0</v>
      </c>
      <c r="I222" s="26">
        <f t="shared" si="7"/>
        <v>0</v>
      </c>
      <c r="J222"/>
    </row>
    <row r="223" spans="1:13" ht="23.25" customHeight="1">
      <c r="A223" s="27" t="s">
        <v>1147</v>
      </c>
      <c r="B223" s="36"/>
      <c r="C223" s="37" t="s">
        <v>1174</v>
      </c>
      <c r="D223" s="37" t="s">
        <v>661</v>
      </c>
      <c r="E223" s="24" t="s">
        <v>1084</v>
      </c>
      <c r="F223" s="28" t="s">
        <v>1148</v>
      </c>
      <c r="G223" s="54">
        <v>725</v>
      </c>
      <c r="H223" s="54"/>
      <c r="I223" s="26">
        <f t="shared" si="7"/>
        <v>0</v>
      </c>
      <c r="J223" s="180">
        <f>SUM('[1]ведомствен.2012'!G329)</f>
        <v>725</v>
      </c>
      <c r="M223" s="180" t="e">
        <f>SUM(#REF!)</f>
        <v>#REF!</v>
      </c>
    </row>
    <row r="224" spans="1:9" s="58" customFormat="1" ht="30.75" customHeight="1">
      <c r="A224" s="286" t="s">
        <v>222</v>
      </c>
      <c r="B224" s="36"/>
      <c r="C224" s="37" t="s">
        <v>1174</v>
      </c>
      <c r="D224" s="37" t="s">
        <v>661</v>
      </c>
      <c r="E224" s="24" t="s">
        <v>223</v>
      </c>
      <c r="F224" s="28"/>
      <c r="G224" s="54">
        <f>SUM(G225)</f>
        <v>2500</v>
      </c>
      <c r="H224" s="54"/>
      <c r="I224" s="26"/>
    </row>
    <row r="225" spans="1:10" s="58" customFormat="1" ht="24.75" customHeight="1">
      <c r="A225" s="286" t="s">
        <v>198</v>
      </c>
      <c r="B225" s="36"/>
      <c r="C225" s="37" t="s">
        <v>1174</v>
      </c>
      <c r="D225" s="37" t="s">
        <v>661</v>
      </c>
      <c r="E225" s="24" t="s">
        <v>223</v>
      </c>
      <c r="F225" s="28" t="s">
        <v>199</v>
      </c>
      <c r="G225" s="54">
        <v>2500</v>
      </c>
      <c r="H225" s="54"/>
      <c r="I225" s="26"/>
      <c r="J225" s="58">
        <f>SUM('[1]ведомствен.2012'!G331)</f>
        <v>2500</v>
      </c>
    </row>
    <row r="226" spans="1:9" s="58" customFormat="1" ht="37.5" customHeight="1">
      <c r="A226" s="291" t="s">
        <v>1110</v>
      </c>
      <c r="B226" s="36"/>
      <c r="C226" s="37" t="s">
        <v>1174</v>
      </c>
      <c r="D226" s="37" t="s">
        <v>661</v>
      </c>
      <c r="E226" s="24" t="s">
        <v>454</v>
      </c>
      <c r="F226" s="28"/>
      <c r="G226" s="54">
        <f>SUM(G227)</f>
        <v>1000</v>
      </c>
      <c r="H226" s="54"/>
      <c r="I226" s="26">
        <f>SUM(H226/G226*100)</f>
        <v>0</v>
      </c>
    </row>
    <row r="227" spans="1:9" s="58" customFormat="1" ht="38.25" customHeight="1">
      <c r="A227" s="293" t="s">
        <v>265</v>
      </c>
      <c r="B227" s="36"/>
      <c r="C227" s="37" t="s">
        <v>1174</v>
      </c>
      <c r="D227" s="37" t="s">
        <v>661</v>
      </c>
      <c r="E227" s="24" t="s">
        <v>1085</v>
      </c>
      <c r="F227" s="28"/>
      <c r="G227" s="54">
        <f>SUM(G228)</f>
        <v>1000</v>
      </c>
      <c r="H227" s="54"/>
      <c r="I227" s="26">
        <f>SUM(H227/G227*100)</f>
        <v>0</v>
      </c>
    </row>
    <row r="228" spans="1:10" s="58" customFormat="1" ht="30.75" customHeight="1">
      <c r="A228" s="286" t="s">
        <v>1147</v>
      </c>
      <c r="B228" s="36"/>
      <c r="C228" s="37" t="s">
        <v>1174</v>
      </c>
      <c r="D228" s="37" t="s">
        <v>661</v>
      </c>
      <c r="E228" s="24" t="s">
        <v>1085</v>
      </c>
      <c r="F228" s="28" t="s">
        <v>1148</v>
      </c>
      <c r="G228" s="54">
        <v>1000</v>
      </c>
      <c r="H228" s="54"/>
      <c r="I228" s="26">
        <f>SUM(H228/G228*100)</f>
        <v>0</v>
      </c>
      <c r="J228" s="58">
        <f>SUM('[1]ведомствен.2012'!G334)</f>
        <v>1000</v>
      </c>
    </row>
    <row r="229" spans="1:10" ht="29.25" customHeight="1">
      <c r="A229" s="35" t="s">
        <v>835</v>
      </c>
      <c r="B229" s="37"/>
      <c r="C229" s="37" t="s">
        <v>1174</v>
      </c>
      <c r="D229" s="37" t="s">
        <v>661</v>
      </c>
      <c r="E229" s="24" t="s">
        <v>469</v>
      </c>
      <c r="F229" s="28"/>
      <c r="G229" s="26">
        <f>SUM(G230)</f>
        <v>5000</v>
      </c>
      <c r="H229" s="26"/>
      <c r="I229" s="26"/>
      <c r="J229"/>
    </row>
    <row r="230" spans="1:13" ht="49.5" customHeight="1">
      <c r="A230" s="286" t="s">
        <v>1017</v>
      </c>
      <c r="B230" s="37"/>
      <c r="C230" s="37" t="s">
        <v>1174</v>
      </c>
      <c r="D230" s="37" t="s">
        <v>661</v>
      </c>
      <c r="E230" s="24" t="s">
        <v>469</v>
      </c>
      <c r="F230" s="28" t="s">
        <v>496</v>
      </c>
      <c r="G230" s="26">
        <v>5000</v>
      </c>
      <c r="H230" s="26"/>
      <c r="I230" s="26">
        <f>SUM(H230/G230*100)</f>
        <v>0</v>
      </c>
      <c r="J230" s="180">
        <f>SUM('[1]ведомствен.2012'!G336)</f>
        <v>5000</v>
      </c>
      <c r="M230" s="180" t="e">
        <f>SUM(#REF!)</f>
        <v>#REF!</v>
      </c>
    </row>
    <row r="231" spans="1:13" s="22" customFormat="1" ht="15.75">
      <c r="A231" s="266" t="s">
        <v>1086</v>
      </c>
      <c r="B231" s="62"/>
      <c r="C231" s="43" t="s">
        <v>1190</v>
      </c>
      <c r="D231" s="43"/>
      <c r="E231" s="43"/>
      <c r="F231" s="63"/>
      <c r="G231" s="45">
        <f>SUM(G232+G284+G316+G346)</f>
        <v>227435.80000000002</v>
      </c>
      <c r="H231" s="45" t="e">
        <f>SUM(H232+H284+H316+H346)</f>
        <v>#REF!</v>
      </c>
      <c r="I231" s="45" t="e">
        <f t="shared" si="7"/>
        <v>#REF!</v>
      </c>
      <c r="K231" s="22">
        <f>SUM(J232:J384)</f>
        <v>227435.8</v>
      </c>
      <c r="L231" s="22">
        <f>SUM('[1]ведомствен.2012'!G893+'[1]ведомствен.2012'!G654+'[1]ведомствен.2012'!G339+'[1]ведомствен.2012'!G71)</f>
        <v>227435.80000000002</v>
      </c>
      <c r="M231" s="22" t="e">
        <f>SUM(#REF!+#REF!)+#REF!</f>
        <v>#REF!</v>
      </c>
    </row>
    <row r="232" spans="1:10" ht="15">
      <c r="A232" s="35" t="s">
        <v>1087</v>
      </c>
      <c r="B232" s="23"/>
      <c r="C232" s="24" t="s">
        <v>1190</v>
      </c>
      <c r="D232" s="24" t="s">
        <v>1140</v>
      </c>
      <c r="E232" s="24"/>
      <c r="F232" s="25"/>
      <c r="G232" s="26">
        <f>SUM(G254+G277+G245+G259+G233+G275+G272)</f>
        <v>2471.6</v>
      </c>
      <c r="H232" s="26" t="e">
        <f>SUM(H254+H277+H245+H259+H233)</f>
        <v>#REF!</v>
      </c>
      <c r="I232" s="26" t="e">
        <f t="shared" si="7"/>
        <v>#REF!</v>
      </c>
      <c r="J232"/>
    </row>
    <row r="233" spans="1:10" ht="42.75">
      <c r="A233" s="64" t="s">
        <v>1088</v>
      </c>
      <c r="B233" s="23"/>
      <c r="C233" s="24" t="s">
        <v>1190</v>
      </c>
      <c r="D233" s="24" t="s">
        <v>1140</v>
      </c>
      <c r="E233" s="24" t="s">
        <v>1089</v>
      </c>
      <c r="F233" s="25"/>
      <c r="G233" s="26">
        <f>SUM(G234+G241)</f>
        <v>2355.5</v>
      </c>
      <c r="H233" s="26">
        <f>SUM(H234+H241)</f>
        <v>23798.300000000003</v>
      </c>
      <c r="I233" s="26">
        <f t="shared" si="7"/>
        <v>1010.3290171938019</v>
      </c>
      <c r="J233"/>
    </row>
    <row r="234" spans="1:10" ht="77.25" customHeight="1" hidden="1">
      <c r="A234" s="64" t="s">
        <v>1090</v>
      </c>
      <c r="B234" s="23"/>
      <c r="C234" s="24" t="s">
        <v>1190</v>
      </c>
      <c r="D234" s="24" t="s">
        <v>1140</v>
      </c>
      <c r="E234" s="24" t="s">
        <v>1091</v>
      </c>
      <c r="F234" s="25"/>
      <c r="G234" s="26">
        <f>SUM(G235)+G237+G239</f>
        <v>0</v>
      </c>
      <c r="H234" s="26">
        <f>SUM(H235)+H237+H239</f>
        <v>20414.4</v>
      </c>
      <c r="I234" s="26" t="e">
        <f t="shared" si="7"/>
        <v>#DIV/0!</v>
      </c>
      <c r="J234"/>
    </row>
    <row r="235" spans="1:10" ht="61.5" customHeight="1" hidden="1">
      <c r="A235" s="64" t="s">
        <v>1040</v>
      </c>
      <c r="B235" s="23"/>
      <c r="C235" s="24" t="s">
        <v>1190</v>
      </c>
      <c r="D235" s="24" t="s">
        <v>1140</v>
      </c>
      <c r="E235" s="24" t="s">
        <v>1041</v>
      </c>
      <c r="F235" s="25"/>
      <c r="G235" s="26">
        <f>SUM(G236)</f>
        <v>0</v>
      </c>
      <c r="H235" s="26">
        <f>SUM(H236)</f>
        <v>15652.8</v>
      </c>
      <c r="I235" s="26" t="e">
        <f t="shared" si="7"/>
        <v>#DIV/0!</v>
      </c>
      <c r="J235"/>
    </row>
    <row r="236" spans="1:10" ht="21" customHeight="1" hidden="1">
      <c r="A236" s="35" t="s">
        <v>1001</v>
      </c>
      <c r="B236" s="23"/>
      <c r="C236" s="24" t="s">
        <v>1190</v>
      </c>
      <c r="D236" s="24" t="s">
        <v>1140</v>
      </c>
      <c r="E236" s="24" t="s">
        <v>1041</v>
      </c>
      <c r="F236" s="25" t="s">
        <v>1002</v>
      </c>
      <c r="G236" s="26"/>
      <c r="H236" s="26">
        <v>15652.8</v>
      </c>
      <c r="I236" s="26" t="e">
        <f t="shared" si="7"/>
        <v>#DIV/0!</v>
      </c>
      <c r="J236"/>
    </row>
    <row r="237" spans="1:10" ht="58.5" customHeight="1" hidden="1">
      <c r="A237" s="65" t="s">
        <v>1042</v>
      </c>
      <c r="B237" s="66"/>
      <c r="C237" s="24" t="s">
        <v>1190</v>
      </c>
      <c r="D237" s="24" t="s">
        <v>1140</v>
      </c>
      <c r="E237" s="24" t="s">
        <v>1043</v>
      </c>
      <c r="F237" s="25"/>
      <c r="G237" s="26">
        <f>SUM(G238)</f>
        <v>0</v>
      </c>
      <c r="H237" s="26">
        <f>SUM(H238)</f>
        <v>0</v>
      </c>
      <c r="I237" s="26" t="e">
        <f t="shared" si="7"/>
        <v>#DIV/0!</v>
      </c>
      <c r="J237"/>
    </row>
    <row r="238" spans="1:10" ht="21" customHeight="1" hidden="1">
      <c r="A238" s="267" t="s">
        <v>198</v>
      </c>
      <c r="B238" s="66"/>
      <c r="C238" s="24" t="s">
        <v>1190</v>
      </c>
      <c r="D238" s="24" t="s">
        <v>1140</v>
      </c>
      <c r="E238" s="24" t="s">
        <v>1043</v>
      </c>
      <c r="F238" s="25" t="s">
        <v>199</v>
      </c>
      <c r="G238" s="26"/>
      <c r="H238" s="26"/>
      <c r="I238" s="26" t="e">
        <f t="shared" si="7"/>
        <v>#DIV/0!</v>
      </c>
      <c r="J238"/>
    </row>
    <row r="239" spans="1:10" ht="90.75" customHeight="1" hidden="1">
      <c r="A239" s="65" t="s">
        <v>210</v>
      </c>
      <c r="B239" s="66"/>
      <c r="C239" s="24" t="s">
        <v>1190</v>
      </c>
      <c r="D239" s="24" t="s">
        <v>1140</v>
      </c>
      <c r="E239" s="24" t="s">
        <v>211</v>
      </c>
      <c r="F239" s="25"/>
      <c r="G239" s="26">
        <f>SUM(G240)</f>
        <v>0</v>
      </c>
      <c r="H239" s="26">
        <f>SUM(H240)</f>
        <v>4761.6</v>
      </c>
      <c r="I239" s="26" t="e">
        <f t="shared" si="7"/>
        <v>#DIV/0!</v>
      </c>
      <c r="J239"/>
    </row>
    <row r="240" spans="1:10" ht="21" customHeight="1" hidden="1">
      <c r="A240" s="267" t="s">
        <v>198</v>
      </c>
      <c r="B240" s="66"/>
      <c r="C240" s="24" t="s">
        <v>1190</v>
      </c>
      <c r="D240" s="24" t="s">
        <v>1140</v>
      </c>
      <c r="E240" s="24" t="s">
        <v>211</v>
      </c>
      <c r="F240" s="25" t="s">
        <v>199</v>
      </c>
      <c r="G240" s="26"/>
      <c r="H240" s="26">
        <v>4761.6</v>
      </c>
      <c r="I240" s="26" t="e">
        <f t="shared" si="7"/>
        <v>#DIV/0!</v>
      </c>
      <c r="J240"/>
    </row>
    <row r="241" spans="1:10" ht="42.75">
      <c r="A241" s="67" t="s">
        <v>1092</v>
      </c>
      <c r="B241" s="23"/>
      <c r="C241" s="24" t="s">
        <v>1190</v>
      </c>
      <c r="D241" s="24" t="s">
        <v>1140</v>
      </c>
      <c r="E241" s="24" t="s">
        <v>1093</v>
      </c>
      <c r="F241" s="25"/>
      <c r="G241" s="26">
        <f>SUM(G242)+G252+G248</f>
        <v>2355.5</v>
      </c>
      <c r="H241" s="26">
        <f>SUM(H242)+H252+H248</f>
        <v>3383.9</v>
      </c>
      <c r="I241" s="26">
        <f t="shared" si="7"/>
        <v>143.6595202717045</v>
      </c>
      <c r="J241"/>
    </row>
    <row r="242" spans="1:10" ht="28.5">
      <c r="A242" s="40" t="s">
        <v>1094</v>
      </c>
      <c r="B242" s="66"/>
      <c r="C242" s="24" t="s">
        <v>1190</v>
      </c>
      <c r="D242" s="24" t="s">
        <v>1140</v>
      </c>
      <c r="E242" s="24" t="s">
        <v>1095</v>
      </c>
      <c r="F242" s="25"/>
      <c r="G242" s="26">
        <f>SUM(G243+G244)</f>
        <v>2000</v>
      </c>
      <c r="H242" s="26">
        <f>SUM(H243+H244)</f>
        <v>1562</v>
      </c>
      <c r="I242" s="26">
        <f t="shared" si="7"/>
        <v>78.10000000000001</v>
      </c>
      <c r="J242"/>
    </row>
    <row r="243" spans="1:13" ht="15">
      <c r="A243" s="68" t="s">
        <v>1001</v>
      </c>
      <c r="B243" s="66"/>
      <c r="C243" s="24" t="s">
        <v>1190</v>
      </c>
      <c r="D243" s="24" t="s">
        <v>1140</v>
      </c>
      <c r="E243" s="24" t="s">
        <v>1095</v>
      </c>
      <c r="F243" s="25" t="s">
        <v>1002</v>
      </c>
      <c r="G243" s="26">
        <v>2000</v>
      </c>
      <c r="H243" s="26">
        <v>233.9</v>
      </c>
      <c r="I243" s="26">
        <f t="shared" si="7"/>
        <v>11.695</v>
      </c>
      <c r="J243" s="180">
        <f>SUM('[1]ведомствен.2012'!G83)</f>
        <v>2000</v>
      </c>
      <c r="M243" s="180" t="e">
        <f>SUM(#REF!)+#REF!</f>
        <v>#REF!</v>
      </c>
    </row>
    <row r="244" spans="1:10" ht="12.75" customHeight="1" hidden="1">
      <c r="A244" s="68" t="s">
        <v>1096</v>
      </c>
      <c r="B244" s="66"/>
      <c r="C244" s="24" t="s">
        <v>1190</v>
      </c>
      <c r="D244" s="24" t="s">
        <v>1140</v>
      </c>
      <c r="E244" s="24" t="s">
        <v>1095</v>
      </c>
      <c r="F244" s="25" t="s">
        <v>1097</v>
      </c>
      <c r="G244" s="26"/>
      <c r="H244" s="26">
        <v>1328.1</v>
      </c>
      <c r="I244" s="26" t="e">
        <f t="shared" si="7"/>
        <v>#DIV/0!</v>
      </c>
      <c r="J244"/>
    </row>
    <row r="245" spans="1:10" ht="28.5" hidden="1">
      <c r="A245" s="262" t="s">
        <v>146</v>
      </c>
      <c r="B245" s="23"/>
      <c r="C245" s="24" t="s">
        <v>1190</v>
      </c>
      <c r="D245" s="24" t="s">
        <v>1140</v>
      </c>
      <c r="E245" s="24" t="s">
        <v>1071</v>
      </c>
      <c r="F245" s="25"/>
      <c r="G245" s="26">
        <f>SUM(G246)</f>
        <v>0</v>
      </c>
      <c r="H245" s="26">
        <f>SUM(H246)</f>
        <v>0</v>
      </c>
      <c r="I245" s="26" t="e">
        <f t="shared" si="7"/>
        <v>#DIV/0!</v>
      </c>
      <c r="J245"/>
    </row>
    <row r="246" spans="1:10" ht="42.75" hidden="1">
      <c r="A246" s="262" t="s">
        <v>196</v>
      </c>
      <c r="B246" s="23"/>
      <c r="C246" s="24" t="s">
        <v>1190</v>
      </c>
      <c r="D246" s="24" t="s">
        <v>1140</v>
      </c>
      <c r="E246" s="24" t="s">
        <v>197</v>
      </c>
      <c r="F246" s="25"/>
      <c r="G246" s="26">
        <f>SUM(G247)</f>
        <v>0</v>
      </c>
      <c r="H246" s="26">
        <f>SUM(H247)</f>
        <v>0</v>
      </c>
      <c r="I246" s="26" t="e">
        <f t="shared" si="7"/>
        <v>#DIV/0!</v>
      </c>
      <c r="J246"/>
    </row>
    <row r="247" spans="1:10" ht="15" hidden="1">
      <c r="A247" s="262" t="s">
        <v>198</v>
      </c>
      <c r="B247" s="23"/>
      <c r="C247" s="24" t="s">
        <v>1190</v>
      </c>
      <c r="D247" s="24" t="s">
        <v>1140</v>
      </c>
      <c r="E247" s="24" t="s">
        <v>197</v>
      </c>
      <c r="F247" s="25" t="s">
        <v>199</v>
      </c>
      <c r="G247" s="26"/>
      <c r="H247" s="26"/>
      <c r="I247" s="26" t="e">
        <f t="shared" si="7"/>
        <v>#DIV/0!</v>
      </c>
      <c r="J247"/>
    </row>
    <row r="248" spans="1:10" ht="29.25" customHeight="1">
      <c r="A248" s="262" t="s">
        <v>1098</v>
      </c>
      <c r="B248" s="23"/>
      <c r="C248" s="24" t="s">
        <v>1190</v>
      </c>
      <c r="D248" s="24" t="s">
        <v>1140</v>
      </c>
      <c r="E248" s="24" t="s">
        <v>1099</v>
      </c>
      <c r="F248" s="25"/>
      <c r="G248" s="26">
        <f>SUM(G250+G251)+G249</f>
        <v>355.5</v>
      </c>
      <c r="H248" s="26">
        <f>SUM(H250+H251)</f>
        <v>0</v>
      </c>
      <c r="I248" s="26">
        <f t="shared" si="7"/>
        <v>0</v>
      </c>
      <c r="J248"/>
    </row>
    <row r="249" spans="1:10" s="39" customFormat="1" ht="21.75" customHeight="1">
      <c r="A249" s="294" t="s">
        <v>198</v>
      </c>
      <c r="B249" s="23"/>
      <c r="C249" s="24" t="s">
        <v>1190</v>
      </c>
      <c r="D249" s="24" t="s">
        <v>1140</v>
      </c>
      <c r="E249" s="24" t="s">
        <v>1099</v>
      </c>
      <c r="F249" s="25" t="s">
        <v>199</v>
      </c>
      <c r="G249" s="26">
        <v>355.5</v>
      </c>
      <c r="H249" s="26">
        <v>1821.9</v>
      </c>
      <c r="I249" s="26">
        <f>SUM(H249/G249*100)</f>
        <v>512.4894514767933</v>
      </c>
      <c r="J249" s="39">
        <f>SUM('[1]ведомствен.2012'!G358)</f>
        <v>355.5</v>
      </c>
    </row>
    <row r="250" spans="1:10" ht="0.75" customHeight="1" hidden="1">
      <c r="A250" s="286" t="s">
        <v>1017</v>
      </c>
      <c r="B250" s="23"/>
      <c r="C250" s="24" t="s">
        <v>1190</v>
      </c>
      <c r="D250" s="24" t="s">
        <v>1140</v>
      </c>
      <c r="E250" s="24" t="s">
        <v>1099</v>
      </c>
      <c r="F250" s="25" t="s">
        <v>496</v>
      </c>
      <c r="G250" s="26"/>
      <c r="H250" s="26"/>
      <c r="I250" s="26" t="e">
        <f t="shared" si="7"/>
        <v>#DIV/0!</v>
      </c>
      <c r="J250">
        <f>SUM('[1]ведомствен.2012'!G357)</f>
        <v>0</v>
      </c>
    </row>
    <row r="251" spans="1:10" ht="29.25" customHeight="1" hidden="1">
      <c r="A251" s="267" t="s">
        <v>1111</v>
      </c>
      <c r="B251" s="23"/>
      <c r="C251" s="24" t="s">
        <v>1190</v>
      </c>
      <c r="D251" s="24" t="s">
        <v>1140</v>
      </c>
      <c r="E251" s="24" t="s">
        <v>1099</v>
      </c>
      <c r="F251" s="25" t="s">
        <v>1112</v>
      </c>
      <c r="G251" s="26"/>
      <c r="H251" s="26"/>
      <c r="I251" s="26" t="e">
        <f t="shared" si="7"/>
        <v>#DIV/0!</v>
      </c>
      <c r="J251"/>
    </row>
    <row r="252" spans="1:10" ht="59.25" customHeight="1" hidden="1">
      <c r="A252" s="262" t="s">
        <v>1113</v>
      </c>
      <c r="B252" s="23"/>
      <c r="C252" s="24" t="s">
        <v>1190</v>
      </c>
      <c r="D252" s="24" t="s">
        <v>1140</v>
      </c>
      <c r="E252" s="24" t="s">
        <v>1114</v>
      </c>
      <c r="F252" s="25"/>
      <c r="G252" s="26">
        <f>SUM(G253)</f>
        <v>0</v>
      </c>
      <c r="H252" s="26">
        <f>SUM(H253)</f>
        <v>1821.9</v>
      </c>
      <c r="I252" s="26" t="e">
        <f t="shared" si="7"/>
        <v>#DIV/0!</v>
      </c>
      <c r="J252"/>
    </row>
    <row r="253" spans="1:13" ht="16.5" customHeight="1" hidden="1">
      <c r="A253" s="267" t="s">
        <v>198</v>
      </c>
      <c r="B253" s="23"/>
      <c r="C253" s="24" t="s">
        <v>1190</v>
      </c>
      <c r="D253" s="24" t="s">
        <v>1140</v>
      </c>
      <c r="E253" s="24" t="s">
        <v>1114</v>
      </c>
      <c r="F253" s="25" t="s">
        <v>199</v>
      </c>
      <c r="G253" s="26"/>
      <c r="H253" s="26">
        <v>1821.9</v>
      </c>
      <c r="I253" s="26" t="e">
        <f t="shared" si="7"/>
        <v>#DIV/0!</v>
      </c>
      <c r="M253" s="180" t="e">
        <f>SUM(#REF!+#REF!)</f>
        <v>#REF!</v>
      </c>
    </row>
    <row r="254" spans="1:10" ht="14.25" customHeight="1" hidden="1">
      <c r="A254" s="35" t="s">
        <v>1115</v>
      </c>
      <c r="B254" s="23"/>
      <c r="C254" s="24" t="s">
        <v>1190</v>
      </c>
      <c r="D254" s="24" t="s">
        <v>1140</v>
      </c>
      <c r="E254" s="24" t="s">
        <v>1116</v>
      </c>
      <c r="F254" s="25"/>
      <c r="G254" s="26">
        <f>SUM(G255+G257)</f>
        <v>0</v>
      </c>
      <c r="H254" s="26">
        <f>SUM(H255+H257)</f>
        <v>0</v>
      </c>
      <c r="I254" s="26" t="e">
        <f t="shared" si="7"/>
        <v>#DIV/0!</v>
      </c>
      <c r="J254"/>
    </row>
    <row r="255" spans="1:10" ht="44.25" customHeight="1" hidden="1">
      <c r="A255" s="38" t="s">
        <v>1117</v>
      </c>
      <c r="B255" s="23"/>
      <c r="C255" s="24" t="s">
        <v>1190</v>
      </c>
      <c r="D255" s="24" t="s">
        <v>1140</v>
      </c>
      <c r="E255" s="24" t="s">
        <v>1118</v>
      </c>
      <c r="F255" s="25"/>
      <c r="G255" s="26">
        <f>SUM(G256)</f>
        <v>0</v>
      </c>
      <c r="H255" s="26">
        <f>SUM(H256)</f>
        <v>0</v>
      </c>
      <c r="I255" s="26" t="e">
        <f t="shared" si="7"/>
        <v>#DIV/0!</v>
      </c>
      <c r="J255"/>
    </row>
    <row r="256" spans="1:10" ht="15.75" customHeight="1" hidden="1">
      <c r="A256" s="35" t="s">
        <v>1001</v>
      </c>
      <c r="B256" s="23"/>
      <c r="C256" s="24" t="s">
        <v>1190</v>
      </c>
      <c r="D256" s="24" t="s">
        <v>1140</v>
      </c>
      <c r="E256" s="24" t="s">
        <v>1118</v>
      </c>
      <c r="F256" s="25" t="s">
        <v>1002</v>
      </c>
      <c r="G256" s="26"/>
      <c r="H256" s="26"/>
      <c r="I256" s="26" t="e">
        <f t="shared" si="7"/>
        <v>#DIV/0!</v>
      </c>
      <c r="J256"/>
    </row>
    <row r="257" spans="1:9" s="39" customFormat="1" ht="28.5" customHeight="1" hidden="1">
      <c r="A257" s="38" t="s">
        <v>1119</v>
      </c>
      <c r="B257" s="36"/>
      <c r="C257" s="24" t="s">
        <v>1190</v>
      </c>
      <c r="D257" s="24" t="s">
        <v>1140</v>
      </c>
      <c r="E257" s="24" t="s">
        <v>1120</v>
      </c>
      <c r="F257" s="28"/>
      <c r="G257" s="26">
        <f>SUM(G258)</f>
        <v>0</v>
      </c>
      <c r="H257" s="26">
        <f>SUM(H258)</f>
        <v>0</v>
      </c>
      <c r="I257" s="26" t="e">
        <f t="shared" si="7"/>
        <v>#DIV/0!</v>
      </c>
    </row>
    <row r="258" spans="1:9" s="70" customFormat="1" ht="16.5" customHeight="1" hidden="1">
      <c r="A258" s="27" t="s">
        <v>1147</v>
      </c>
      <c r="B258" s="69"/>
      <c r="C258" s="24" t="s">
        <v>1190</v>
      </c>
      <c r="D258" s="24" t="s">
        <v>1140</v>
      </c>
      <c r="E258" s="24" t="s">
        <v>1120</v>
      </c>
      <c r="F258" s="55" t="s">
        <v>1148</v>
      </c>
      <c r="G258" s="54"/>
      <c r="H258" s="54"/>
      <c r="I258" s="26" t="e">
        <f t="shared" si="7"/>
        <v>#DIV/0!</v>
      </c>
    </row>
    <row r="259" spans="1:9" s="58" customFormat="1" ht="18.75" customHeight="1" hidden="1">
      <c r="A259" s="38" t="s">
        <v>990</v>
      </c>
      <c r="B259" s="50"/>
      <c r="C259" s="50" t="s">
        <v>1190</v>
      </c>
      <c r="D259" s="50" t="s">
        <v>1140</v>
      </c>
      <c r="E259" s="50" t="s">
        <v>991</v>
      </c>
      <c r="F259" s="71"/>
      <c r="G259" s="72">
        <f>SUM(G262)+G267+G260</f>
        <v>0</v>
      </c>
      <c r="H259" s="72">
        <f>SUM(H262)+H267+H260</f>
        <v>0</v>
      </c>
      <c r="I259" s="26" t="e">
        <f t="shared" si="7"/>
        <v>#DIV/0!</v>
      </c>
    </row>
    <row r="260" spans="1:9" s="58" customFormat="1" ht="39.75" customHeight="1" hidden="1">
      <c r="A260" s="38" t="s">
        <v>1121</v>
      </c>
      <c r="B260" s="50"/>
      <c r="C260" s="73" t="s">
        <v>1190</v>
      </c>
      <c r="D260" s="73" t="s">
        <v>1140</v>
      </c>
      <c r="E260" s="73" t="s">
        <v>1122</v>
      </c>
      <c r="F260" s="71"/>
      <c r="G260" s="72">
        <f>SUM(G261)</f>
        <v>0</v>
      </c>
      <c r="H260" s="72">
        <f>SUM(H261)</f>
        <v>0</v>
      </c>
      <c r="I260" s="26" t="e">
        <f t="shared" si="7"/>
        <v>#DIV/0!</v>
      </c>
    </row>
    <row r="261" spans="1:9" s="58" customFormat="1" ht="18.75" customHeight="1" hidden="1">
      <c r="A261" s="38" t="s">
        <v>198</v>
      </c>
      <c r="B261" s="50"/>
      <c r="C261" s="73" t="s">
        <v>1190</v>
      </c>
      <c r="D261" s="73" t="s">
        <v>1140</v>
      </c>
      <c r="E261" s="73" t="s">
        <v>1122</v>
      </c>
      <c r="F261" s="71" t="s">
        <v>199</v>
      </c>
      <c r="G261" s="72"/>
      <c r="H261" s="72"/>
      <c r="I261" s="26" t="e">
        <f t="shared" si="7"/>
        <v>#DIV/0!</v>
      </c>
    </row>
    <row r="262" spans="1:9" s="58" customFormat="1" ht="45" customHeight="1" hidden="1">
      <c r="A262" s="35" t="s">
        <v>1123</v>
      </c>
      <c r="B262" s="50"/>
      <c r="C262" s="73" t="s">
        <v>1190</v>
      </c>
      <c r="D262" s="73" t="s">
        <v>1140</v>
      </c>
      <c r="E262" s="73" t="s">
        <v>1124</v>
      </c>
      <c r="F262" s="71"/>
      <c r="G262" s="72">
        <f>SUM(G263+G265)</f>
        <v>0</v>
      </c>
      <c r="H262" s="72">
        <f>SUM(H263+H265)</f>
        <v>0</v>
      </c>
      <c r="I262" s="26" t="e">
        <f t="shared" si="7"/>
        <v>#DIV/0!</v>
      </c>
    </row>
    <row r="263" spans="1:9" s="58" customFormat="1" ht="49.5" customHeight="1" hidden="1">
      <c r="A263" s="38" t="s">
        <v>1125</v>
      </c>
      <c r="B263" s="74"/>
      <c r="C263" s="73" t="s">
        <v>1190</v>
      </c>
      <c r="D263" s="73" t="s">
        <v>1140</v>
      </c>
      <c r="E263" s="73" t="s">
        <v>1126</v>
      </c>
      <c r="F263" s="71"/>
      <c r="G263" s="72">
        <f>SUM(G264)</f>
        <v>0</v>
      </c>
      <c r="H263" s="72">
        <f>SUM(H264)</f>
        <v>0</v>
      </c>
      <c r="I263" s="26" t="e">
        <f t="shared" si="7"/>
        <v>#DIV/0!</v>
      </c>
    </row>
    <row r="264" spans="1:9" s="58" customFormat="1" ht="15" customHeight="1" hidden="1">
      <c r="A264" s="262" t="s">
        <v>198</v>
      </c>
      <c r="B264" s="50"/>
      <c r="C264" s="73" t="s">
        <v>1190</v>
      </c>
      <c r="D264" s="73" t="s">
        <v>1140</v>
      </c>
      <c r="E264" s="73" t="s">
        <v>1126</v>
      </c>
      <c r="F264" s="55" t="s">
        <v>199</v>
      </c>
      <c r="G264" s="26">
        <v>0</v>
      </c>
      <c r="H264" s="26">
        <v>0</v>
      </c>
      <c r="I264" s="26" t="e">
        <f t="shared" si="7"/>
        <v>#DIV/0!</v>
      </c>
    </row>
    <row r="265" spans="1:9" s="58" customFormat="1" ht="18" customHeight="1" hidden="1">
      <c r="A265" s="262" t="s">
        <v>1127</v>
      </c>
      <c r="B265" s="50"/>
      <c r="C265" s="73" t="s">
        <v>1190</v>
      </c>
      <c r="D265" s="73" t="s">
        <v>1140</v>
      </c>
      <c r="E265" s="73" t="s">
        <v>1128</v>
      </c>
      <c r="F265" s="55"/>
      <c r="G265" s="26">
        <f>SUM(G266)</f>
        <v>0</v>
      </c>
      <c r="H265" s="26">
        <f>SUM(H266)</f>
        <v>0</v>
      </c>
      <c r="I265" s="26" t="e">
        <f t="shared" si="7"/>
        <v>#DIV/0!</v>
      </c>
    </row>
    <row r="266" spans="1:9" s="58" customFormat="1" ht="14.25" customHeight="1" hidden="1">
      <c r="A266" s="27" t="s">
        <v>1147</v>
      </c>
      <c r="B266" s="69"/>
      <c r="C266" s="24" t="s">
        <v>1190</v>
      </c>
      <c r="D266" s="24" t="s">
        <v>1140</v>
      </c>
      <c r="E266" s="73" t="s">
        <v>1128</v>
      </c>
      <c r="F266" s="55" t="s">
        <v>1148</v>
      </c>
      <c r="G266" s="26">
        <f>SUM('[2]Ведомств.'!F180)</f>
        <v>0</v>
      </c>
      <c r="H266" s="26">
        <f>SUM('[2]Ведомств.'!G180)</f>
        <v>0</v>
      </c>
      <c r="I266" s="26" t="e">
        <f t="shared" si="7"/>
        <v>#DIV/0!</v>
      </c>
    </row>
    <row r="267" spans="1:9" s="58" customFormat="1" ht="28.5" customHeight="1" hidden="1">
      <c r="A267" s="27" t="s">
        <v>1129</v>
      </c>
      <c r="B267" s="69"/>
      <c r="C267" s="24" t="s">
        <v>1190</v>
      </c>
      <c r="D267" s="24" t="s">
        <v>1140</v>
      </c>
      <c r="E267" s="51" t="s">
        <v>1130</v>
      </c>
      <c r="F267" s="55"/>
      <c r="G267" s="26">
        <f>SUM(G268)+G270</f>
        <v>0</v>
      </c>
      <c r="H267" s="26">
        <f>SUM(H268)+H270</f>
        <v>0</v>
      </c>
      <c r="I267" s="26" t="e">
        <f t="shared" si="7"/>
        <v>#DIV/0!</v>
      </c>
    </row>
    <row r="268" spans="1:9" s="58" customFormat="1" ht="42.75" customHeight="1" hidden="1">
      <c r="A268" s="27" t="s">
        <v>457</v>
      </c>
      <c r="B268" s="69"/>
      <c r="C268" s="24" t="s">
        <v>1190</v>
      </c>
      <c r="D268" s="24" t="s">
        <v>1140</v>
      </c>
      <c r="E268" s="51" t="s">
        <v>458</v>
      </c>
      <c r="F268" s="55"/>
      <c r="G268" s="26">
        <f>SUM(G269)</f>
        <v>0</v>
      </c>
      <c r="H268" s="26">
        <f>SUM(H269)</f>
        <v>0</v>
      </c>
      <c r="I268" s="26" t="e">
        <f t="shared" si="7"/>
        <v>#DIV/0!</v>
      </c>
    </row>
    <row r="269" spans="1:9" s="58" customFormat="1" ht="15" customHeight="1" hidden="1">
      <c r="A269" s="35" t="s">
        <v>1001</v>
      </c>
      <c r="B269" s="69"/>
      <c r="C269" s="24" t="s">
        <v>1190</v>
      </c>
      <c r="D269" s="24" t="s">
        <v>1140</v>
      </c>
      <c r="E269" s="73" t="s">
        <v>458</v>
      </c>
      <c r="F269" s="55" t="s">
        <v>1002</v>
      </c>
      <c r="G269" s="26"/>
      <c r="H269" s="26"/>
      <c r="I269" s="26" t="e">
        <f t="shared" si="7"/>
        <v>#DIV/0!</v>
      </c>
    </row>
    <row r="270" spans="1:9" s="58" customFormat="1" ht="42.75" hidden="1">
      <c r="A270" s="27" t="s">
        <v>459</v>
      </c>
      <c r="B270" s="69"/>
      <c r="C270" s="24" t="s">
        <v>1190</v>
      </c>
      <c r="D270" s="24" t="s">
        <v>1140</v>
      </c>
      <c r="E270" s="51" t="s">
        <v>460</v>
      </c>
      <c r="F270" s="55"/>
      <c r="G270" s="26">
        <f>SUM(G271)</f>
        <v>0</v>
      </c>
      <c r="H270" s="26">
        <f>SUM(H271)</f>
        <v>0</v>
      </c>
      <c r="I270" s="26" t="e">
        <f t="shared" si="7"/>
        <v>#DIV/0!</v>
      </c>
    </row>
    <row r="271" spans="1:9" s="58" customFormat="1" ht="15" hidden="1">
      <c r="A271" s="35" t="s">
        <v>1001</v>
      </c>
      <c r="B271" s="69"/>
      <c r="C271" s="24" t="s">
        <v>1190</v>
      </c>
      <c r="D271" s="24" t="s">
        <v>1140</v>
      </c>
      <c r="E271" s="73" t="s">
        <v>460</v>
      </c>
      <c r="F271" s="55" t="s">
        <v>1002</v>
      </c>
      <c r="G271" s="26"/>
      <c r="H271" s="26"/>
      <c r="I271" s="26" t="e">
        <f t="shared" si="7"/>
        <v>#DIV/0!</v>
      </c>
    </row>
    <row r="272" spans="1:9" s="39" customFormat="1" ht="15">
      <c r="A272" s="35" t="s">
        <v>1115</v>
      </c>
      <c r="B272" s="69"/>
      <c r="C272" s="24" t="s">
        <v>1190</v>
      </c>
      <c r="D272" s="24" t="s">
        <v>1140</v>
      </c>
      <c r="E272" s="73" t="s">
        <v>310</v>
      </c>
      <c r="F272" s="55"/>
      <c r="G272" s="26">
        <f>SUM(G273)</f>
        <v>50</v>
      </c>
      <c r="H272" s="26"/>
      <c r="I272" s="26"/>
    </row>
    <row r="273" spans="1:9" s="39" customFormat="1" ht="15">
      <c r="A273" s="35" t="s">
        <v>312</v>
      </c>
      <c r="B273" s="69"/>
      <c r="C273" s="24" t="s">
        <v>1190</v>
      </c>
      <c r="D273" s="24" t="s">
        <v>1140</v>
      </c>
      <c r="E273" s="51" t="s">
        <v>311</v>
      </c>
      <c r="F273" s="55"/>
      <c r="G273" s="26">
        <f>SUM(G274)</f>
        <v>50</v>
      </c>
      <c r="H273" s="26"/>
      <c r="I273" s="26"/>
    </row>
    <row r="274" spans="1:10" s="39" customFormat="1" ht="14.25" customHeight="1">
      <c r="A274" s="68" t="s">
        <v>1001</v>
      </c>
      <c r="B274" s="69"/>
      <c r="C274" s="24" t="s">
        <v>1190</v>
      </c>
      <c r="D274" s="24" t="s">
        <v>1140</v>
      </c>
      <c r="E274" s="51" t="s">
        <v>311</v>
      </c>
      <c r="F274" s="52" t="s">
        <v>1002</v>
      </c>
      <c r="G274" s="26">
        <v>50</v>
      </c>
      <c r="H274" s="26"/>
      <c r="I274" s="26"/>
      <c r="J274" s="39">
        <f>SUM('[1]ведомствен.2012'!G95)</f>
        <v>50</v>
      </c>
    </row>
    <row r="275" spans="1:10" ht="15" hidden="1">
      <c r="A275" s="267" t="s">
        <v>1053</v>
      </c>
      <c r="B275" s="36"/>
      <c r="C275" s="37" t="s">
        <v>1190</v>
      </c>
      <c r="D275" s="37" t="s">
        <v>1140</v>
      </c>
      <c r="E275" s="37" t="s">
        <v>1052</v>
      </c>
      <c r="F275" s="25"/>
      <c r="G275" s="54">
        <f>SUM(G276)</f>
        <v>0</v>
      </c>
      <c r="H275" s="26"/>
      <c r="I275" s="26"/>
      <c r="J275"/>
    </row>
    <row r="276" spans="1:10" ht="15" hidden="1">
      <c r="A276" s="267" t="s">
        <v>198</v>
      </c>
      <c r="B276" s="36"/>
      <c r="C276" s="37" t="s">
        <v>1190</v>
      </c>
      <c r="D276" s="37" t="s">
        <v>1140</v>
      </c>
      <c r="E276" s="37" t="s">
        <v>1052</v>
      </c>
      <c r="F276" s="28" t="s">
        <v>199</v>
      </c>
      <c r="G276" s="54"/>
      <c r="H276" s="26"/>
      <c r="I276" s="26"/>
      <c r="J276"/>
    </row>
    <row r="277" spans="1:9" s="58" customFormat="1" ht="15">
      <c r="A277" s="267" t="s">
        <v>1186</v>
      </c>
      <c r="B277" s="50"/>
      <c r="C277" s="50" t="s">
        <v>1190</v>
      </c>
      <c r="D277" s="50" t="s">
        <v>1140</v>
      </c>
      <c r="E277" s="50" t="s">
        <v>1187</v>
      </c>
      <c r="F277" s="55"/>
      <c r="G277" s="26">
        <f>SUM(G278,G280,G282)</f>
        <v>66.1</v>
      </c>
      <c r="H277" s="26" t="e">
        <f>SUM(#REF!+#REF!)+H282</f>
        <v>#REF!</v>
      </c>
      <c r="I277" s="26" t="e">
        <f t="shared" si="7"/>
        <v>#REF!</v>
      </c>
    </row>
    <row r="278" spans="1:9" s="58" customFormat="1" ht="42.75" customHeight="1">
      <c r="A278" s="267" t="s">
        <v>964</v>
      </c>
      <c r="B278" s="50"/>
      <c r="C278" s="50" t="s">
        <v>1190</v>
      </c>
      <c r="D278" s="50" t="s">
        <v>1140</v>
      </c>
      <c r="E278" s="50" t="s">
        <v>965</v>
      </c>
      <c r="F278" s="55"/>
      <c r="G278" s="75">
        <f>SUM(G279)</f>
        <v>66.1</v>
      </c>
      <c r="H278" s="75">
        <f>SUM('[2]Ведомств.'!G188)</f>
        <v>0</v>
      </c>
      <c r="I278" s="26">
        <f t="shared" si="7"/>
        <v>0</v>
      </c>
    </row>
    <row r="279" spans="1:10" s="58" customFormat="1" ht="15">
      <c r="A279" s="68" t="s">
        <v>1001</v>
      </c>
      <c r="B279" s="50"/>
      <c r="C279" s="50" t="s">
        <v>1190</v>
      </c>
      <c r="D279" s="50" t="s">
        <v>1140</v>
      </c>
      <c r="E279" s="50" t="s">
        <v>965</v>
      </c>
      <c r="F279" s="55" t="s">
        <v>1002</v>
      </c>
      <c r="G279" s="75">
        <v>66.1</v>
      </c>
      <c r="H279" s="75"/>
      <c r="I279" s="26">
        <f t="shared" si="7"/>
        <v>0</v>
      </c>
      <c r="J279" s="39">
        <f>SUM('[1]ведомствен.2012'!G117)</f>
        <v>66.1</v>
      </c>
    </row>
    <row r="280" spans="1:9" s="58" customFormat="1" ht="28.5" hidden="1">
      <c r="A280" s="262" t="s">
        <v>465</v>
      </c>
      <c r="B280" s="50"/>
      <c r="C280" s="51" t="s">
        <v>1190</v>
      </c>
      <c r="D280" s="51" t="s">
        <v>1140</v>
      </c>
      <c r="E280" s="51" t="s">
        <v>466</v>
      </c>
      <c r="F280" s="52" t="s">
        <v>199</v>
      </c>
      <c r="G280" s="26">
        <f>SUM(G281)</f>
        <v>0</v>
      </c>
      <c r="H280" s="26">
        <f>SUM(H281)</f>
        <v>167.7</v>
      </c>
      <c r="I280" s="26" t="e">
        <f aca="true" t="shared" si="8" ref="I280:I340">SUM(H280/G280*100)</f>
        <v>#DIV/0!</v>
      </c>
    </row>
    <row r="281" spans="1:9" s="58" customFormat="1" ht="42.75" hidden="1">
      <c r="A281" s="38" t="s">
        <v>1125</v>
      </c>
      <c r="B281" s="50"/>
      <c r="C281" s="51" t="s">
        <v>1190</v>
      </c>
      <c r="D281" s="51" t="s">
        <v>1140</v>
      </c>
      <c r="E281" s="51" t="s">
        <v>467</v>
      </c>
      <c r="F281" s="52" t="s">
        <v>199</v>
      </c>
      <c r="G281" s="26"/>
      <c r="H281" s="26">
        <v>167.7</v>
      </c>
      <c r="I281" s="26" t="e">
        <f t="shared" si="8"/>
        <v>#DIV/0!</v>
      </c>
    </row>
    <row r="282" spans="1:9" s="58" customFormat="1" ht="28.5" hidden="1">
      <c r="A282" s="76" t="s">
        <v>468</v>
      </c>
      <c r="B282" s="50"/>
      <c r="C282" s="51" t="s">
        <v>1190</v>
      </c>
      <c r="D282" s="51" t="s">
        <v>1140</v>
      </c>
      <c r="E282" s="51" t="s">
        <v>469</v>
      </c>
      <c r="F282" s="52"/>
      <c r="G282" s="26">
        <f>SUM(G283)</f>
        <v>0</v>
      </c>
      <c r="H282" s="26">
        <f>SUM(H283)</f>
        <v>110.4</v>
      </c>
      <c r="I282" s="26" t="e">
        <f t="shared" si="8"/>
        <v>#DIV/0!</v>
      </c>
    </row>
    <row r="283" spans="1:9" s="58" customFormat="1" ht="15" hidden="1">
      <c r="A283" s="267" t="s">
        <v>198</v>
      </c>
      <c r="B283" s="50"/>
      <c r="C283" s="51" t="s">
        <v>1190</v>
      </c>
      <c r="D283" s="51" t="s">
        <v>1140</v>
      </c>
      <c r="E283" s="51" t="s">
        <v>469</v>
      </c>
      <c r="F283" s="52" t="s">
        <v>199</v>
      </c>
      <c r="G283" s="26"/>
      <c r="H283" s="26">
        <v>110.4</v>
      </c>
      <c r="I283" s="26" t="e">
        <f t="shared" si="8"/>
        <v>#DIV/0!</v>
      </c>
    </row>
    <row r="284" spans="1:9" s="39" customFormat="1" ht="20.25" customHeight="1">
      <c r="A284" s="262" t="s">
        <v>470</v>
      </c>
      <c r="B284" s="36"/>
      <c r="C284" s="37" t="s">
        <v>1190</v>
      </c>
      <c r="D284" s="37" t="s">
        <v>1142</v>
      </c>
      <c r="E284" s="37"/>
      <c r="F284" s="28"/>
      <c r="G284" s="26">
        <f>SUM(G292+G304)+G287+G300+G289+G312</f>
        <v>12554</v>
      </c>
      <c r="H284" s="26">
        <f>SUM(H292+H304)+H287+H300+H289</f>
        <v>24530.6</v>
      </c>
      <c r="I284" s="26">
        <f t="shared" si="8"/>
        <v>195.40066910944716</v>
      </c>
    </row>
    <row r="285" spans="1:9" s="39" customFormat="1" ht="18" customHeight="1" hidden="1">
      <c r="A285" s="35" t="s">
        <v>471</v>
      </c>
      <c r="B285" s="23"/>
      <c r="C285" s="37" t="s">
        <v>1190</v>
      </c>
      <c r="D285" s="37" t="s">
        <v>1142</v>
      </c>
      <c r="E285" s="37" t="s">
        <v>472</v>
      </c>
      <c r="F285" s="25"/>
      <c r="G285" s="26"/>
      <c r="H285" s="26"/>
      <c r="I285" s="26" t="e">
        <f t="shared" si="8"/>
        <v>#DIV/0!</v>
      </c>
    </row>
    <row r="286" spans="1:9" s="39" customFormat="1" ht="18" customHeight="1" hidden="1">
      <c r="A286" s="35" t="s">
        <v>473</v>
      </c>
      <c r="B286" s="23"/>
      <c r="C286" s="37" t="s">
        <v>1190</v>
      </c>
      <c r="D286" s="37" t="s">
        <v>1142</v>
      </c>
      <c r="E286" s="37" t="s">
        <v>472</v>
      </c>
      <c r="F286" s="25" t="s">
        <v>474</v>
      </c>
      <c r="G286" s="26"/>
      <c r="H286" s="26"/>
      <c r="I286" s="26" t="e">
        <f t="shared" si="8"/>
        <v>#DIV/0!</v>
      </c>
    </row>
    <row r="287" spans="1:9" s="39" customFormat="1" ht="19.5" customHeight="1" hidden="1">
      <c r="A287" s="35" t="s">
        <v>638</v>
      </c>
      <c r="B287" s="23"/>
      <c r="C287" s="37" t="s">
        <v>1190</v>
      </c>
      <c r="D287" s="37" t="s">
        <v>1142</v>
      </c>
      <c r="E287" s="37" t="s">
        <v>639</v>
      </c>
      <c r="F287" s="25"/>
      <c r="G287" s="26">
        <f>SUM(G288)</f>
        <v>0</v>
      </c>
      <c r="H287" s="26">
        <f>SUM(H288)</f>
        <v>0</v>
      </c>
      <c r="I287" s="26" t="e">
        <f t="shared" si="8"/>
        <v>#DIV/0!</v>
      </c>
    </row>
    <row r="288" spans="1:9" s="39" customFormat="1" ht="18" customHeight="1" hidden="1">
      <c r="A288" s="27" t="s">
        <v>1147</v>
      </c>
      <c r="B288" s="23"/>
      <c r="C288" s="37" t="s">
        <v>1190</v>
      </c>
      <c r="D288" s="37" t="s">
        <v>1142</v>
      </c>
      <c r="E288" s="37" t="s">
        <v>639</v>
      </c>
      <c r="F288" s="25" t="s">
        <v>1148</v>
      </c>
      <c r="G288" s="26"/>
      <c r="H288" s="26"/>
      <c r="I288" s="26" t="e">
        <f t="shared" si="8"/>
        <v>#DIV/0!</v>
      </c>
    </row>
    <row r="289" spans="1:9" s="39" customFormat="1" ht="18" customHeight="1" hidden="1">
      <c r="A289" s="27" t="s">
        <v>932</v>
      </c>
      <c r="B289" s="23"/>
      <c r="C289" s="37" t="s">
        <v>1190</v>
      </c>
      <c r="D289" s="37" t="s">
        <v>1142</v>
      </c>
      <c r="E289" s="37" t="s">
        <v>933</v>
      </c>
      <c r="F289" s="25"/>
      <c r="G289" s="26">
        <f>SUM(G290)</f>
        <v>0</v>
      </c>
      <c r="H289" s="26">
        <f>SUM(H290)</f>
        <v>9483.6</v>
      </c>
      <c r="I289" s="26" t="e">
        <f t="shared" si="8"/>
        <v>#DIV/0!</v>
      </c>
    </row>
    <row r="290" spans="1:9" s="39" customFormat="1" ht="18" customHeight="1" hidden="1">
      <c r="A290" s="27" t="s">
        <v>934</v>
      </c>
      <c r="B290" s="23"/>
      <c r="C290" s="37" t="s">
        <v>1190</v>
      </c>
      <c r="D290" s="37" t="s">
        <v>1142</v>
      </c>
      <c r="E290" s="37" t="s">
        <v>935</v>
      </c>
      <c r="F290" s="25"/>
      <c r="G290" s="26">
        <f>SUM(G291)</f>
        <v>0</v>
      </c>
      <c r="H290" s="26">
        <f>SUM(H291)</f>
        <v>9483.6</v>
      </c>
      <c r="I290" s="26" t="e">
        <f t="shared" si="8"/>
        <v>#DIV/0!</v>
      </c>
    </row>
    <row r="291" spans="1:9" s="39" customFormat="1" ht="18" customHeight="1" hidden="1">
      <c r="A291" s="35" t="s">
        <v>1001</v>
      </c>
      <c r="B291" s="23"/>
      <c r="C291" s="37" t="s">
        <v>1190</v>
      </c>
      <c r="D291" s="37" t="s">
        <v>1142</v>
      </c>
      <c r="E291" s="37" t="s">
        <v>935</v>
      </c>
      <c r="F291" s="25" t="s">
        <v>1002</v>
      </c>
      <c r="G291" s="26"/>
      <c r="H291" s="26">
        <v>9483.6</v>
      </c>
      <c r="I291" s="26" t="e">
        <f t="shared" si="8"/>
        <v>#DIV/0!</v>
      </c>
    </row>
    <row r="292" spans="1:9" s="39" customFormat="1" ht="15">
      <c r="A292" s="61" t="s">
        <v>936</v>
      </c>
      <c r="B292" s="36"/>
      <c r="C292" s="37" t="s">
        <v>1190</v>
      </c>
      <c r="D292" s="37" t="s">
        <v>1142</v>
      </c>
      <c r="E292" s="37" t="s">
        <v>472</v>
      </c>
      <c r="F292" s="28"/>
      <c r="G292" s="26">
        <f>SUM(G293+G295+G297)</f>
        <v>12554</v>
      </c>
      <c r="H292" s="26">
        <f>SUM(H293+H295+H297)</f>
        <v>15047</v>
      </c>
      <c r="I292" s="26">
        <f t="shared" si="8"/>
        <v>119.85821252190536</v>
      </c>
    </row>
    <row r="293" spans="1:9" s="39" customFormat="1" ht="42.75" customHeight="1" hidden="1">
      <c r="A293" s="267" t="s">
        <v>937</v>
      </c>
      <c r="B293" s="36"/>
      <c r="C293" s="37" t="s">
        <v>1190</v>
      </c>
      <c r="D293" s="37" t="s">
        <v>1142</v>
      </c>
      <c r="E293" s="37" t="s">
        <v>938</v>
      </c>
      <c r="F293" s="28"/>
      <c r="G293" s="26">
        <f>SUM(G294)</f>
        <v>0</v>
      </c>
      <c r="H293" s="26">
        <f>SUM(H294)</f>
        <v>0</v>
      </c>
      <c r="I293" s="26" t="e">
        <f t="shared" si="8"/>
        <v>#DIV/0!</v>
      </c>
    </row>
    <row r="294" spans="1:9" s="39" customFormat="1" ht="17.25" customHeight="1" hidden="1">
      <c r="A294" s="35" t="s">
        <v>1001</v>
      </c>
      <c r="B294" s="23"/>
      <c r="C294" s="24" t="s">
        <v>1190</v>
      </c>
      <c r="D294" s="37" t="s">
        <v>1142</v>
      </c>
      <c r="E294" s="37" t="s">
        <v>938</v>
      </c>
      <c r="F294" s="25" t="s">
        <v>1002</v>
      </c>
      <c r="G294" s="26"/>
      <c r="H294" s="26"/>
      <c r="I294" s="26" t="e">
        <f t="shared" si="8"/>
        <v>#DIV/0!</v>
      </c>
    </row>
    <row r="295" spans="1:9" s="39" customFormat="1" ht="61.5" customHeight="1" hidden="1">
      <c r="A295" s="267" t="s">
        <v>441</v>
      </c>
      <c r="B295" s="23"/>
      <c r="C295" s="37" t="s">
        <v>1190</v>
      </c>
      <c r="D295" s="37" t="s">
        <v>1142</v>
      </c>
      <c r="E295" s="37" t="s">
        <v>442</v>
      </c>
      <c r="F295" s="25"/>
      <c r="G295" s="26">
        <f>SUM(G296)</f>
        <v>0</v>
      </c>
      <c r="H295" s="26">
        <f>SUM(H296)</f>
        <v>0</v>
      </c>
      <c r="I295" s="26" t="e">
        <f t="shared" si="8"/>
        <v>#DIV/0!</v>
      </c>
    </row>
    <row r="296" spans="1:9" s="39" customFormat="1" ht="17.25" customHeight="1" hidden="1">
      <c r="A296" s="35" t="s">
        <v>1001</v>
      </c>
      <c r="B296" s="23"/>
      <c r="C296" s="37" t="s">
        <v>1190</v>
      </c>
      <c r="D296" s="37" t="s">
        <v>1142</v>
      </c>
      <c r="E296" s="37" t="s">
        <v>442</v>
      </c>
      <c r="F296" s="25" t="s">
        <v>1002</v>
      </c>
      <c r="G296" s="26"/>
      <c r="H296" s="26"/>
      <c r="I296" s="26" t="e">
        <f t="shared" si="8"/>
        <v>#DIV/0!</v>
      </c>
    </row>
    <row r="297" spans="1:9" s="39" customFormat="1" ht="16.5" customHeight="1">
      <c r="A297" s="38" t="s">
        <v>443</v>
      </c>
      <c r="B297" s="36"/>
      <c r="C297" s="37" t="s">
        <v>1190</v>
      </c>
      <c r="D297" s="37" t="s">
        <v>1142</v>
      </c>
      <c r="E297" s="37" t="s">
        <v>444</v>
      </c>
      <c r="F297" s="28"/>
      <c r="G297" s="26">
        <f>SUM(G298)+G299+G315</f>
        <v>12554</v>
      </c>
      <c r="H297" s="26">
        <f>SUM(H298)+H299</f>
        <v>15047</v>
      </c>
      <c r="I297" s="26">
        <f t="shared" si="8"/>
        <v>119.85821252190536</v>
      </c>
    </row>
    <row r="298" spans="1:13" s="39" customFormat="1" ht="0.75" customHeight="1" hidden="1">
      <c r="A298" s="35" t="s">
        <v>1001</v>
      </c>
      <c r="B298" s="36"/>
      <c r="C298" s="37" t="s">
        <v>1190</v>
      </c>
      <c r="D298" s="37" t="s">
        <v>1142</v>
      </c>
      <c r="E298" s="37" t="s">
        <v>444</v>
      </c>
      <c r="F298" s="25" t="s">
        <v>1002</v>
      </c>
      <c r="G298" s="54"/>
      <c r="H298" s="54">
        <f>878+4272.1+2990.6</f>
        <v>8140.700000000001</v>
      </c>
      <c r="I298" s="26" t="e">
        <f t="shared" si="8"/>
        <v>#DIV/0!</v>
      </c>
      <c r="J298" s="180"/>
      <c r="M298" s="180" t="e">
        <f>SUM(#REF!)+#REF!</f>
        <v>#REF!</v>
      </c>
    </row>
    <row r="299" spans="1:13" s="39" customFormat="1" ht="16.5" customHeight="1">
      <c r="A299" s="27" t="s">
        <v>1147</v>
      </c>
      <c r="B299" s="36"/>
      <c r="C299" s="37" t="s">
        <v>1190</v>
      </c>
      <c r="D299" s="37" t="s">
        <v>1142</v>
      </c>
      <c r="E299" s="37" t="s">
        <v>444</v>
      </c>
      <c r="F299" s="25" t="s">
        <v>1148</v>
      </c>
      <c r="G299" s="54">
        <v>12554</v>
      </c>
      <c r="H299" s="54">
        <v>6906.3</v>
      </c>
      <c r="I299" s="26">
        <f t="shared" si="8"/>
        <v>55.012744941851196</v>
      </c>
      <c r="J299" s="180">
        <f>SUM('[1]ведомствен.2012'!G911)+'[1]ведомствен.2012'!G138</f>
        <v>12554</v>
      </c>
      <c r="M299" s="180" t="e">
        <f>SUM(#REF!)+#REF!+#REF!</f>
        <v>#REF!</v>
      </c>
    </row>
    <row r="300" spans="1:9" s="39" customFormat="1" ht="15" customHeight="1" hidden="1">
      <c r="A300" s="38" t="s">
        <v>990</v>
      </c>
      <c r="B300" s="50"/>
      <c r="C300" s="37" t="s">
        <v>1190</v>
      </c>
      <c r="D300" s="37" t="s">
        <v>1142</v>
      </c>
      <c r="E300" s="51" t="s">
        <v>991</v>
      </c>
      <c r="F300" s="28"/>
      <c r="G300" s="54">
        <f aca="true" t="shared" si="9" ref="G300:H302">SUM(G301)</f>
        <v>0</v>
      </c>
      <c r="H300" s="54">
        <f t="shared" si="9"/>
        <v>0</v>
      </c>
      <c r="I300" s="26" t="e">
        <f t="shared" si="8"/>
        <v>#DIV/0!</v>
      </c>
    </row>
    <row r="301" spans="1:9" s="39" customFormat="1" ht="42.75" customHeight="1" hidden="1">
      <c r="A301" s="35" t="s">
        <v>1123</v>
      </c>
      <c r="B301" s="50"/>
      <c r="C301" s="37" t="s">
        <v>1190</v>
      </c>
      <c r="D301" s="37" t="s">
        <v>1142</v>
      </c>
      <c r="E301" s="51" t="s">
        <v>1124</v>
      </c>
      <c r="F301" s="28"/>
      <c r="G301" s="54">
        <f t="shared" si="9"/>
        <v>0</v>
      </c>
      <c r="H301" s="54">
        <f t="shared" si="9"/>
        <v>0</v>
      </c>
      <c r="I301" s="26" t="e">
        <f t="shared" si="8"/>
        <v>#DIV/0!</v>
      </c>
    </row>
    <row r="302" spans="1:9" s="39" customFormat="1" ht="28.5" customHeight="1" hidden="1">
      <c r="A302" s="38" t="s">
        <v>445</v>
      </c>
      <c r="B302" s="23"/>
      <c r="C302" s="37" t="s">
        <v>1190</v>
      </c>
      <c r="D302" s="37" t="s">
        <v>1142</v>
      </c>
      <c r="E302" s="51" t="s">
        <v>446</v>
      </c>
      <c r="F302" s="28"/>
      <c r="G302" s="54">
        <f t="shared" si="9"/>
        <v>0</v>
      </c>
      <c r="H302" s="54">
        <f t="shared" si="9"/>
        <v>0</v>
      </c>
      <c r="I302" s="26" t="e">
        <f t="shared" si="8"/>
        <v>#DIV/0!</v>
      </c>
    </row>
    <row r="303" spans="1:9" s="39" customFormat="1" ht="15" customHeight="1" hidden="1">
      <c r="A303" s="27" t="s">
        <v>1147</v>
      </c>
      <c r="B303" s="36"/>
      <c r="C303" s="37" t="s">
        <v>1190</v>
      </c>
      <c r="D303" s="37" t="s">
        <v>1142</v>
      </c>
      <c r="E303" s="51" t="s">
        <v>446</v>
      </c>
      <c r="F303" s="25" t="s">
        <v>1148</v>
      </c>
      <c r="G303" s="54"/>
      <c r="H303" s="54"/>
      <c r="I303" s="26" t="e">
        <f t="shared" si="8"/>
        <v>#DIV/0!</v>
      </c>
    </row>
    <row r="304" spans="1:9" s="39" customFormat="1" ht="15" customHeight="1" hidden="1">
      <c r="A304" s="267" t="s">
        <v>1186</v>
      </c>
      <c r="B304" s="77"/>
      <c r="C304" s="50" t="s">
        <v>1190</v>
      </c>
      <c r="D304" s="50" t="s">
        <v>1142</v>
      </c>
      <c r="E304" s="50" t="s">
        <v>1187</v>
      </c>
      <c r="F304" s="55"/>
      <c r="G304" s="54">
        <f>SUM(G305)</f>
        <v>0</v>
      </c>
      <c r="H304" s="54">
        <f>SUM(H305)</f>
        <v>0</v>
      </c>
      <c r="I304" s="26" t="e">
        <f t="shared" si="8"/>
        <v>#DIV/0!</v>
      </c>
    </row>
    <row r="305" spans="1:9" s="39" customFormat="1" ht="15" customHeight="1" hidden="1">
      <c r="A305" s="27" t="s">
        <v>1147</v>
      </c>
      <c r="B305" s="77"/>
      <c r="C305" s="50" t="s">
        <v>1190</v>
      </c>
      <c r="D305" s="50" t="s">
        <v>1142</v>
      </c>
      <c r="E305" s="50" t="s">
        <v>1187</v>
      </c>
      <c r="F305" s="25" t="s">
        <v>1148</v>
      </c>
      <c r="G305" s="54">
        <f>SUM(G306:G309)</f>
        <v>0</v>
      </c>
      <c r="H305" s="54">
        <f>SUM(H306:H309)</f>
        <v>0</v>
      </c>
      <c r="I305" s="26" t="e">
        <f t="shared" si="8"/>
        <v>#DIV/0!</v>
      </c>
    </row>
    <row r="306" spans="1:9" s="39" customFormat="1" ht="28.5" customHeight="1" hidden="1">
      <c r="A306" s="27" t="s">
        <v>447</v>
      </c>
      <c r="B306" s="77"/>
      <c r="C306" s="51" t="s">
        <v>1190</v>
      </c>
      <c r="D306" s="51" t="s">
        <v>1142</v>
      </c>
      <c r="E306" s="51" t="s">
        <v>448</v>
      </c>
      <c r="F306" s="25" t="s">
        <v>1148</v>
      </c>
      <c r="G306" s="54"/>
      <c r="H306" s="54"/>
      <c r="I306" s="26" t="e">
        <f t="shared" si="8"/>
        <v>#DIV/0!</v>
      </c>
    </row>
    <row r="307" spans="1:9" s="39" customFormat="1" ht="28.5" customHeight="1" hidden="1">
      <c r="A307" s="267" t="s">
        <v>449</v>
      </c>
      <c r="B307" s="77"/>
      <c r="C307" s="51" t="s">
        <v>1190</v>
      </c>
      <c r="D307" s="51" t="s">
        <v>1142</v>
      </c>
      <c r="E307" s="51" t="s">
        <v>450</v>
      </c>
      <c r="F307" s="25" t="s">
        <v>1148</v>
      </c>
      <c r="G307" s="54"/>
      <c r="H307" s="54"/>
      <c r="I307" s="26" t="e">
        <f t="shared" si="8"/>
        <v>#DIV/0!</v>
      </c>
    </row>
    <row r="308" spans="1:9" s="39" customFormat="1" ht="28.5" customHeight="1" hidden="1">
      <c r="A308" s="267" t="s">
        <v>451</v>
      </c>
      <c r="B308" s="77"/>
      <c r="C308" s="51" t="s">
        <v>1190</v>
      </c>
      <c r="D308" s="51" t="s">
        <v>1142</v>
      </c>
      <c r="E308" s="51" t="s">
        <v>452</v>
      </c>
      <c r="F308" s="25" t="s">
        <v>1148</v>
      </c>
      <c r="G308" s="54"/>
      <c r="H308" s="54"/>
      <c r="I308" s="26" t="e">
        <f t="shared" si="8"/>
        <v>#DIV/0!</v>
      </c>
    </row>
    <row r="309" spans="1:9" s="39" customFormat="1" ht="28.5" customHeight="1" hidden="1">
      <c r="A309" s="76" t="s">
        <v>453</v>
      </c>
      <c r="B309" s="77"/>
      <c r="C309" s="51" t="s">
        <v>1190</v>
      </c>
      <c r="D309" s="51" t="s">
        <v>1142</v>
      </c>
      <c r="E309" s="51" t="s">
        <v>454</v>
      </c>
      <c r="F309" s="25"/>
      <c r="G309" s="54">
        <f>SUM(G310)</f>
        <v>0</v>
      </c>
      <c r="H309" s="54">
        <f>SUM(H310)</f>
        <v>0</v>
      </c>
      <c r="I309" s="26" t="e">
        <f t="shared" si="8"/>
        <v>#DIV/0!</v>
      </c>
    </row>
    <row r="310" spans="1:9" s="39" customFormat="1" ht="28.5" customHeight="1" hidden="1">
      <c r="A310" s="267" t="s">
        <v>445</v>
      </c>
      <c r="B310" s="77"/>
      <c r="C310" s="51" t="s">
        <v>1190</v>
      </c>
      <c r="D310" s="51" t="s">
        <v>1142</v>
      </c>
      <c r="E310" s="51" t="s">
        <v>455</v>
      </c>
      <c r="F310" s="25"/>
      <c r="G310" s="54">
        <f>SUM(G311)</f>
        <v>0</v>
      </c>
      <c r="H310" s="54">
        <f>SUM(H311)</f>
        <v>0</v>
      </c>
      <c r="I310" s="26" t="e">
        <f t="shared" si="8"/>
        <v>#DIV/0!</v>
      </c>
    </row>
    <row r="311" spans="1:9" s="39" customFormat="1" ht="15" customHeight="1" hidden="1">
      <c r="A311" s="27" t="s">
        <v>1147</v>
      </c>
      <c r="B311" s="77"/>
      <c r="C311" s="51" t="s">
        <v>1190</v>
      </c>
      <c r="D311" s="51" t="s">
        <v>1142</v>
      </c>
      <c r="E311" s="51" t="s">
        <v>455</v>
      </c>
      <c r="F311" s="25" t="s">
        <v>1148</v>
      </c>
      <c r="G311" s="54"/>
      <c r="H311" s="54"/>
      <c r="I311" s="26" t="e">
        <f t="shared" si="8"/>
        <v>#DIV/0!</v>
      </c>
    </row>
    <row r="312" spans="1:10" ht="15" hidden="1">
      <c r="A312" s="268" t="s">
        <v>1186</v>
      </c>
      <c r="B312" s="36"/>
      <c r="C312" s="37" t="s">
        <v>1190</v>
      </c>
      <c r="D312" s="37" t="s">
        <v>1142</v>
      </c>
      <c r="E312" s="37" t="s">
        <v>1187</v>
      </c>
      <c r="F312" s="25"/>
      <c r="G312" s="54">
        <f>SUM(G313)</f>
        <v>0</v>
      </c>
      <c r="H312" s="26"/>
      <c r="I312" s="26"/>
      <c r="J312"/>
    </row>
    <row r="313" spans="1:10" ht="15" hidden="1">
      <c r="A313" s="40"/>
      <c r="B313" s="36"/>
      <c r="C313" s="37" t="s">
        <v>1190</v>
      </c>
      <c r="D313" s="37" t="s">
        <v>1142</v>
      </c>
      <c r="E313" s="37" t="s">
        <v>1187</v>
      </c>
      <c r="F313" s="28"/>
      <c r="G313" s="54">
        <f>SUM(G314)</f>
        <v>0</v>
      </c>
      <c r="H313" s="26"/>
      <c r="I313" s="26"/>
      <c r="J313"/>
    </row>
    <row r="314" spans="1:10" ht="15" hidden="1">
      <c r="A314" s="40" t="s">
        <v>1147</v>
      </c>
      <c r="B314" s="36"/>
      <c r="C314" s="37" t="s">
        <v>1190</v>
      </c>
      <c r="D314" s="37" t="s">
        <v>1142</v>
      </c>
      <c r="E314" s="37" t="s">
        <v>1187</v>
      </c>
      <c r="F314" s="28" t="s">
        <v>1148</v>
      </c>
      <c r="G314" s="54">
        <f>6000-6000</f>
        <v>0</v>
      </c>
      <c r="H314" s="26"/>
      <c r="I314" s="26"/>
      <c r="J314"/>
    </row>
    <row r="315" spans="1:10" ht="15">
      <c r="A315" s="35" t="s">
        <v>1001</v>
      </c>
      <c r="B315" s="36"/>
      <c r="C315" s="37" t="s">
        <v>1190</v>
      </c>
      <c r="D315" s="37" t="s">
        <v>1142</v>
      </c>
      <c r="E315" s="37" t="s">
        <v>444</v>
      </c>
      <c r="F315" s="28" t="s">
        <v>1002</v>
      </c>
      <c r="G315" s="54"/>
      <c r="H315" s="26"/>
      <c r="I315" s="26"/>
      <c r="J315">
        <f>SUM('[1]ведомствен.2012'!G137)</f>
        <v>0</v>
      </c>
    </row>
    <row r="316" spans="1:9" s="39" customFormat="1" ht="15" customHeight="1">
      <c r="A316" s="269" t="s">
        <v>456</v>
      </c>
      <c r="B316" s="36"/>
      <c r="C316" s="37" t="s">
        <v>1190</v>
      </c>
      <c r="D316" s="37" t="s">
        <v>1150</v>
      </c>
      <c r="E316" s="37"/>
      <c r="F316" s="28"/>
      <c r="G316" s="26">
        <f>SUM(G319+G336)+G317</f>
        <v>175693.6</v>
      </c>
      <c r="H316" s="26">
        <f>SUM(H319+H336)+H317</f>
        <v>76530.59999999999</v>
      </c>
      <c r="I316" s="26">
        <f t="shared" si="8"/>
        <v>43.55912793636193</v>
      </c>
    </row>
    <row r="317" spans="1:10" ht="27.75" customHeight="1" hidden="1">
      <c r="A317" s="38" t="s">
        <v>758</v>
      </c>
      <c r="B317" s="23"/>
      <c r="C317" s="37" t="s">
        <v>1190</v>
      </c>
      <c r="D317" s="37" t="s">
        <v>1150</v>
      </c>
      <c r="E317" s="24" t="s">
        <v>759</v>
      </c>
      <c r="F317" s="29"/>
      <c r="G317" s="26">
        <f>SUM(G318)</f>
        <v>0</v>
      </c>
      <c r="H317" s="26">
        <f>SUM(H318)</f>
        <v>5048</v>
      </c>
      <c r="I317" s="26" t="e">
        <f>SUM(H317/G317*100)</f>
        <v>#DIV/0!</v>
      </c>
      <c r="J317"/>
    </row>
    <row r="318" spans="1:13" ht="18" customHeight="1" hidden="1">
      <c r="A318" s="27" t="s">
        <v>1147</v>
      </c>
      <c r="B318" s="23"/>
      <c r="C318" s="37" t="s">
        <v>1190</v>
      </c>
      <c r="D318" s="37" t="s">
        <v>1150</v>
      </c>
      <c r="E318" s="24" t="s">
        <v>759</v>
      </c>
      <c r="F318" s="29" t="s">
        <v>1148</v>
      </c>
      <c r="G318" s="26"/>
      <c r="H318" s="26">
        <v>5048</v>
      </c>
      <c r="I318" s="26" t="e">
        <f>SUM(H318/G318*100)</f>
        <v>#DIV/0!</v>
      </c>
      <c r="J318"/>
      <c r="M318" t="e">
        <f>SUM(#REF!)</f>
        <v>#REF!</v>
      </c>
    </row>
    <row r="319" spans="1:9" s="39" customFormat="1" ht="15">
      <c r="A319" s="269" t="s">
        <v>456</v>
      </c>
      <c r="B319" s="50"/>
      <c r="C319" s="37" t="s">
        <v>1190</v>
      </c>
      <c r="D319" s="37" t="s">
        <v>1150</v>
      </c>
      <c r="E319" s="51" t="s">
        <v>298</v>
      </c>
      <c r="F319" s="52"/>
      <c r="G319" s="26">
        <f>SUM(G320+G325+G330+G333)+G328+G343</f>
        <v>175693.6</v>
      </c>
      <c r="H319" s="26">
        <f>SUM(H320+H325+H330+H333)+H328</f>
        <v>71087.2</v>
      </c>
      <c r="I319" s="26">
        <f t="shared" si="8"/>
        <v>40.46089328239617</v>
      </c>
    </row>
    <row r="320" spans="1:9" s="39" customFormat="1" ht="15">
      <c r="A320" s="267" t="s">
        <v>299</v>
      </c>
      <c r="B320" s="77"/>
      <c r="C320" s="37" t="s">
        <v>1190</v>
      </c>
      <c r="D320" s="37" t="s">
        <v>1150</v>
      </c>
      <c r="E320" s="51" t="s">
        <v>300</v>
      </c>
      <c r="F320" s="52"/>
      <c r="G320" s="26">
        <f>SUM(G321:G323)</f>
        <v>50403.2</v>
      </c>
      <c r="H320" s="26">
        <f>SUM(H322:H323)</f>
        <v>20816.7</v>
      </c>
      <c r="I320" s="26">
        <f t="shared" si="8"/>
        <v>41.300353945781225</v>
      </c>
    </row>
    <row r="321" spans="1:13" s="97" customFormat="1" ht="11.25" customHeight="1" hidden="1">
      <c r="A321" s="35" t="s">
        <v>1001</v>
      </c>
      <c r="B321" s="77"/>
      <c r="C321" s="37" t="s">
        <v>1190</v>
      </c>
      <c r="D321" s="37" t="s">
        <v>1150</v>
      </c>
      <c r="E321" s="51" t="s">
        <v>300</v>
      </c>
      <c r="F321" s="52" t="s">
        <v>1002</v>
      </c>
      <c r="G321" s="26"/>
      <c r="H321" s="26"/>
      <c r="I321" s="26"/>
      <c r="J321" s="180"/>
      <c r="M321" s="180" t="e">
        <f>SUM(#REF!)+#REF!</f>
        <v>#REF!</v>
      </c>
    </row>
    <row r="322" spans="1:13" s="39" customFormat="1" ht="15">
      <c r="A322" s="27" t="s">
        <v>1147</v>
      </c>
      <c r="B322" s="77"/>
      <c r="C322" s="37" t="s">
        <v>1190</v>
      </c>
      <c r="D322" s="37" t="s">
        <v>1150</v>
      </c>
      <c r="E322" s="51" t="s">
        <v>300</v>
      </c>
      <c r="F322" s="52" t="s">
        <v>1148</v>
      </c>
      <c r="G322" s="26">
        <v>50403.2</v>
      </c>
      <c r="H322" s="26">
        <v>20816.7</v>
      </c>
      <c r="I322" s="26">
        <f t="shared" si="8"/>
        <v>41.300353945781225</v>
      </c>
      <c r="J322" s="180">
        <f>SUM('[1]ведомствен.2012'!G157)</f>
        <v>50403.2</v>
      </c>
      <c r="M322" s="180" t="e">
        <f>SUM(#REF!)+#REF!</f>
        <v>#REF!</v>
      </c>
    </row>
    <row r="323" spans="1:9" s="39" customFormat="1" ht="10.5" customHeight="1" hidden="1">
      <c r="A323" s="27" t="s">
        <v>1182</v>
      </c>
      <c r="B323" s="77"/>
      <c r="C323" s="37" t="s">
        <v>1190</v>
      </c>
      <c r="D323" s="37" t="s">
        <v>1150</v>
      </c>
      <c r="E323" s="51" t="s">
        <v>301</v>
      </c>
      <c r="F323" s="52"/>
      <c r="G323" s="26">
        <f>SUM(G324)</f>
        <v>0</v>
      </c>
      <c r="H323" s="26">
        <f>SUM(H324)</f>
        <v>0</v>
      </c>
      <c r="I323" s="26" t="e">
        <f t="shared" si="8"/>
        <v>#DIV/0!</v>
      </c>
    </row>
    <row r="324" spans="1:9" s="39" customFormat="1" ht="15" customHeight="1" hidden="1">
      <c r="A324" s="27" t="s">
        <v>1147</v>
      </c>
      <c r="B324" s="77"/>
      <c r="C324" s="37" t="s">
        <v>1190</v>
      </c>
      <c r="D324" s="37" t="s">
        <v>1150</v>
      </c>
      <c r="E324" s="51" t="s">
        <v>301</v>
      </c>
      <c r="F324" s="52" t="s">
        <v>1148</v>
      </c>
      <c r="G324" s="26"/>
      <c r="H324" s="26"/>
      <c r="I324" s="26" t="e">
        <f t="shared" si="8"/>
        <v>#DIV/0!</v>
      </c>
    </row>
    <row r="325" spans="1:9" s="39" customFormat="1" ht="42.75">
      <c r="A325" s="267" t="s">
        <v>390</v>
      </c>
      <c r="B325" s="77"/>
      <c r="C325" s="37" t="s">
        <v>1190</v>
      </c>
      <c r="D325" s="37" t="s">
        <v>1150</v>
      </c>
      <c r="E325" s="51" t="s">
        <v>391</v>
      </c>
      <c r="F325" s="52"/>
      <c r="G325" s="26">
        <f>SUM(G327+G326)</f>
        <v>98604.8</v>
      </c>
      <c r="H325" s="26">
        <f>SUM(H327)</f>
        <v>43097.5</v>
      </c>
      <c r="I325" s="26">
        <f t="shared" si="8"/>
        <v>43.707304309729345</v>
      </c>
    </row>
    <row r="326" spans="1:13" s="39" customFormat="1" ht="15">
      <c r="A326" s="285" t="s">
        <v>198</v>
      </c>
      <c r="B326" s="77"/>
      <c r="C326" s="37" t="s">
        <v>1190</v>
      </c>
      <c r="D326" s="37" t="s">
        <v>1150</v>
      </c>
      <c r="E326" s="51" t="s">
        <v>391</v>
      </c>
      <c r="F326" s="52" t="s">
        <v>199</v>
      </c>
      <c r="G326" s="26">
        <v>34423</v>
      </c>
      <c r="H326" s="26"/>
      <c r="I326" s="26"/>
      <c r="J326" s="180">
        <f>SUM('[1]ведомствен.2012'!G161)</f>
        <v>34423</v>
      </c>
      <c r="M326" s="182" t="e">
        <f>SUM(#REF!)+#REF!</f>
        <v>#REF!</v>
      </c>
    </row>
    <row r="327" spans="1:13" s="39" customFormat="1" ht="14.25" customHeight="1">
      <c r="A327" s="27" t="s">
        <v>1147</v>
      </c>
      <c r="B327" s="77"/>
      <c r="C327" s="37" t="s">
        <v>1190</v>
      </c>
      <c r="D327" s="37" t="s">
        <v>1150</v>
      </c>
      <c r="E327" s="51" t="s">
        <v>391</v>
      </c>
      <c r="F327" s="52" t="s">
        <v>1148</v>
      </c>
      <c r="G327" s="26">
        <v>64181.8</v>
      </c>
      <c r="H327" s="26">
        <v>43097.5</v>
      </c>
      <c r="I327" s="26">
        <f t="shared" si="8"/>
        <v>67.14909834252077</v>
      </c>
      <c r="J327" s="180">
        <f>SUM('[1]ведомствен.2012'!G162)</f>
        <v>64181.8</v>
      </c>
      <c r="M327" s="182" t="e">
        <f>SUM(#REF!)+#REF!</f>
        <v>#REF!</v>
      </c>
    </row>
    <row r="328" spans="1:9" s="39" customFormat="1" ht="12.75" customHeight="1" hidden="1">
      <c r="A328" s="27" t="s">
        <v>392</v>
      </c>
      <c r="B328" s="77"/>
      <c r="C328" s="37" t="s">
        <v>1190</v>
      </c>
      <c r="D328" s="37" t="s">
        <v>1150</v>
      </c>
      <c r="E328" s="51" t="s">
        <v>393</v>
      </c>
      <c r="F328" s="52"/>
      <c r="G328" s="26">
        <f>SUM(G329)</f>
        <v>0</v>
      </c>
      <c r="H328" s="26">
        <f>SUM(H329)</f>
        <v>482.9</v>
      </c>
      <c r="I328" s="26" t="e">
        <f t="shared" si="8"/>
        <v>#DIV/0!</v>
      </c>
    </row>
    <row r="329" spans="1:13" s="39" customFormat="1" ht="15.75" customHeight="1" hidden="1">
      <c r="A329" s="27" t="s">
        <v>1147</v>
      </c>
      <c r="B329" s="77"/>
      <c r="C329" s="37" t="s">
        <v>1190</v>
      </c>
      <c r="D329" s="37" t="s">
        <v>1150</v>
      </c>
      <c r="E329" s="51" t="s">
        <v>393</v>
      </c>
      <c r="F329" s="52" t="s">
        <v>1148</v>
      </c>
      <c r="G329" s="26"/>
      <c r="H329" s="26">
        <v>482.9</v>
      </c>
      <c r="I329" s="26" t="e">
        <f t="shared" si="8"/>
        <v>#DIV/0!</v>
      </c>
      <c r="J329" s="182"/>
      <c r="M329" s="182" t="e">
        <f>SUM(#REF!)+#REF!</f>
        <v>#REF!</v>
      </c>
    </row>
    <row r="330" spans="1:9" s="39" customFormat="1" ht="15">
      <c r="A330" s="267" t="s">
        <v>394</v>
      </c>
      <c r="B330" s="77"/>
      <c r="C330" s="37" t="s">
        <v>1190</v>
      </c>
      <c r="D330" s="37" t="s">
        <v>1150</v>
      </c>
      <c r="E330" s="50" t="s">
        <v>395</v>
      </c>
      <c r="F330" s="55"/>
      <c r="G330" s="26">
        <f>SUM(G332+G331)</f>
        <v>1000</v>
      </c>
      <c r="H330" s="26">
        <f>SUM(H332)</f>
        <v>489.8</v>
      </c>
      <c r="I330" s="26">
        <f t="shared" si="8"/>
        <v>48.980000000000004</v>
      </c>
    </row>
    <row r="331" spans="1:13" ht="16.5" customHeight="1">
      <c r="A331" s="27" t="s">
        <v>1147</v>
      </c>
      <c r="B331" s="77"/>
      <c r="C331" s="37" t="s">
        <v>1190</v>
      </c>
      <c r="D331" s="37" t="s">
        <v>1150</v>
      </c>
      <c r="E331" s="51" t="s">
        <v>395</v>
      </c>
      <c r="F331" s="55" t="s">
        <v>1148</v>
      </c>
      <c r="G331" s="26">
        <v>1000</v>
      </c>
      <c r="H331" s="26"/>
      <c r="I331" s="26"/>
      <c r="J331" s="180">
        <f>SUM('[1]ведомствен.2012'!G167)</f>
        <v>1000</v>
      </c>
      <c r="M331" s="182" t="e">
        <f>SUM(#REF!)+#REF!</f>
        <v>#REF!</v>
      </c>
    </row>
    <row r="332" spans="1:9" s="39" customFormat="1" ht="17.25" customHeight="1" hidden="1">
      <c r="A332" s="27" t="s">
        <v>1147</v>
      </c>
      <c r="B332" s="77"/>
      <c r="C332" s="37" t="s">
        <v>1190</v>
      </c>
      <c r="D332" s="37" t="s">
        <v>1150</v>
      </c>
      <c r="E332" s="50" t="s">
        <v>395</v>
      </c>
      <c r="F332" s="55" t="s">
        <v>1148</v>
      </c>
      <c r="G332" s="26"/>
      <c r="H332" s="26">
        <v>489.8</v>
      </c>
      <c r="I332" s="26" t="e">
        <f t="shared" si="8"/>
        <v>#DIV/0!</v>
      </c>
    </row>
    <row r="333" spans="1:9" s="39" customFormat="1" ht="28.5">
      <c r="A333" s="267" t="s">
        <v>436</v>
      </c>
      <c r="B333" s="77"/>
      <c r="C333" s="37" t="s">
        <v>1190</v>
      </c>
      <c r="D333" s="37" t="s">
        <v>1150</v>
      </c>
      <c r="E333" s="51" t="s">
        <v>437</v>
      </c>
      <c r="F333" s="55"/>
      <c r="G333" s="26">
        <f>SUM(G335+G334)</f>
        <v>22505.2</v>
      </c>
      <c r="H333" s="26">
        <f>SUM(H335)</f>
        <v>6200.3</v>
      </c>
      <c r="I333" s="26">
        <f t="shared" si="8"/>
        <v>27.550521657216997</v>
      </c>
    </row>
    <row r="334" spans="1:13" s="165" customFormat="1" ht="15">
      <c r="A334" s="27" t="s">
        <v>1147</v>
      </c>
      <c r="B334" s="77"/>
      <c r="C334" s="37" t="s">
        <v>1190</v>
      </c>
      <c r="D334" s="37" t="s">
        <v>1150</v>
      </c>
      <c r="E334" s="51" t="s">
        <v>437</v>
      </c>
      <c r="F334" s="52" t="s">
        <v>1148</v>
      </c>
      <c r="G334" s="26">
        <v>22505.2</v>
      </c>
      <c r="H334" s="26"/>
      <c r="I334" s="26"/>
      <c r="J334" s="182">
        <f>SUM('[1]ведомствен.2012'!G169)</f>
        <v>22505.2</v>
      </c>
      <c r="M334" s="182" t="e">
        <f>SUM(#REF!)+#REF!</f>
        <v>#REF!</v>
      </c>
    </row>
    <row r="335" spans="1:13" s="39" customFormat="1" ht="13.5" customHeight="1" hidden="1">
      <c r="A335" s="27" t="s">
        <v>1147</v>
      </c>
      <c r="B335" s="77"/>
      <c r="C335" s="37" t="s">
        <v>1190</v>
      </c>
      <c r="D335" s="37" t="s">
        <v>1150</v>
      </c>
      <c r="E335" s="50" t="s">
        <v>437</v>
      </c>
      <c r="F335" s="55" t="s">
        <v>1148</v>
      </c>
      <c r="G335" s="26"/>
      <c r="H335" s="26">
        <v>6200.3</v>
      </c>
      <c r="I335" s="26" t="e">
        <f t="shared" si="8"/>
        <v>#DIV/0!</v>
      </c>
      <c r="J335" s="182"/>
      <c r="M335" s="182" t="e">
        <f>SUM(#REF!)+#REF!</f>
        <v>#REF!</v>
      </c>
    </row>
    <row r="336" spans="1:9" s="39" customFormat="1" ht="15" hidden="1">
      <c r="A336" s="267" t="s">
        <v>1186</v>
      </c>
      <c r="B336" s="77"/>
      <c r="C336" s="37" t="s">
        <v>1190</v>
      </c>
      <c r="D336" s="37" t="s">
        <v>1150</v>
      </c>
      <c r="E336" s="50" t="s">
        <v>1187</v>
      </c>
      <c r="F336" s="55"/>
      <c r="G336" s="26">
        <f>SUM(G337,G341)</f>
        <v>0</v>
      </c>
      <c r="H336" s="26">
        <f>SUM(H337)</f>
        <v>395.4</v>
      </c>
      <c r="I336" s="26" t="e">
        <f t="shared" si="8"/>
        <v>#DIV/0!</v>
      </c>
    </row>
    <row r="337" spans="1:9" s="39" customFormat="1" ht="29.25" customHeight="1" hidden="1">
      <c r="A337" s="27" t="s">
        <v>440</v>
      </c>
      <c r="B337" s="77"/>
      <c r="C337" s="37" t="s">
        <v>1190</v>
      </c>
      <c r="D337" s="37" t="s">
        <v>1150</v>
      </c>
      <c r="E337" s="51" t="s">
        <v>448</v>
      </c>
      <c r="F337" s="55"/>
      <c r="G337" s="26">
        <f>SUM(G338:G340)</f>
        <v>0</v>
      </c>
      <c r="H337" s="26">
        <f>SUM(H338:H340)</f>
        <v>395.4</v>
      </c>
      <c r="I337" s="26" t="e">
        <f t="shared" si="8"/>
        <v>#DIV/0!</v>
      </c>
    </row>
    <row r="338" spans="1:9" s="70" customFormat="1" ht="36.75" customHeight="1" hidden="1">
      <c r="A338" s="267" t="s">
        <v>438</v>
      </c>
      <c r="B338" s="78"/>
      <c r="C338" s="37" t="s">
        <v>1190</v>
      </c>
      <c r="D338" s="37" t="s">
        <v>1150</v>
      </c>
      <c r="E338" s="51" t="s">
        <v>439</v>
      </c>
      <c r="F338" s="52" t="s">
        <v>1148</v>
      </c>
      <c r="G338" s="54"/>
      <c r="H338" s="54"/>
      <c r="I338" s="26" t="e">
        <f t="shared" si="8"/>
        <v>#DIV/0!</v>
      </c>
    </row>
    <row r="339" spans="1:9" s="70" customFormat="1" ht="23.25" customHeight="1" hidden="1">
      <c r="A339" s="27" t="s">
        <v>1147</v>
      </c>
      <c r="B339" s="77"/>
      <c r="C339" s="37" t="s">
        <v>1190</v>
      </c>
      <c r="D339" s="37" t="s">
        <v>1150</v>
      </c>
      <c r="E339" s="51" t="s">
        <v>448</v>
      </c>
      <c r="F339" s="25" t="s">
        <v>1148</v>
      </c>
      <c r="G339" s="54"/>
      <c r="H339" s="54">
        <v>395.4</v>
      </c>
      <c r="I339" s="26" t="e">
        <f t="shared" si="8"/>
        <v>#DIV/0!</v>
      </c>
    </row>
    <row r="340" spans="1:9" s="70" customFormat="1" ht="12" customHeight="1" hidden="1">
      <c r="A340" s="79" t="s">
        <v>255</v>
      </c>
      <c r="B340" s="78"/>
      <c r="C340" s="37" t="s">
        <v>1190</v>
      </c>
      <c r="D340" s="37" t="s">
        <v>1150</v>
      </c>
      <c r="E340" s="51" t="s">
        <v>256</v>
      </c>
      <c r="F340" s="52" t="s">
        <v>1148</v>
      </c>
      <c r="G340" s="54"/>
      <c r="H340" s="54"/>
      <c r="I340" s="26" t="e">
        <f t="shared" si="8"/>
        <v>#DIV/0!</v>
      </c>
    </row>
    <row r="341" spans="1:10" ht="28.5" hidden="1">
      <c r="A341" s="262" t="s">
        <v>1047</v>
      </c>
      <c r="B341" s="23"/>
      <c r="C341" s="33" t="s">
        <v>1190</v>
      </c>
      <c r="D341" s="33" t="s">
        <v>1150</v>
      </c>
      <c r="E341" s="33" t="s">
        <v>1054</v>
      </c>
      <c r="F341" s="28"/>
      <c r="G341" s="54">
        <f>SUM(G342)</f>
        <v>0</v>
      </c>
      <c r="H341" s="54"/>
      <c r="I341" s="26"/>
      <c r="J341"/>
    </row>
    <row r="342" spans="1:10" ht="15" hidden="1">
      <c r="A342" s="262" t="s">
        <v>1001</v>
      </c>
      <c r="B342" s="23"/>
      <c r="C342" s="33" t="s">
        <v>1190</v>
      </c>
      <c r="D342" s="33" t="s">
        <v>1150</v>
      </c>
      <c r="E342" s="33" t="s">
        <v>287</v>
      </c>
      <c r="F342" s="28" t="s">
        <v>1002</v>
      </c>
      <c r="G342" s="54"/>
      <c r="H342" s="54"/>
      <c r="I342" s="26"/>
      <c r="J342"/>
    </row>
    <row r="343" spans="1:10" ht="28.5">
      <c r="A343" s="262" t="s">
        <v>1016</v>
      </c>
      <c r="B343" s="23"/>
      <c r="C343" s="33" t="s">
        <v>1190</v>
      </c>
      <c r="D343" s="33" t="s">
        <v>1150</v>
      </c>
      <c r="E343" s="33" t="s">
        <v>313</v>
      </c>
      <c r="F343" s="28"/>
      <c r="G343" s="54">
        <f>SUM(G344)</f>
        <v>3180.4</v>
      </c>
      <c r="H343" s="54"/>
      <c r="I343" s="26"/>
      <c r="J343"/>
    </row>
    <row r="344" spans="1:10" ht="28.5">
      <c r="A344" s="262" t="s">
        <v>754</v>
      </c>
      <c r="B344" s="23"/>
      <c r="C344" s="33" t="s">
        <v>1190</v>
      </c>
      <c r="D344" s="33" t="s">
        <v>1150</v>
      </c>
      <c r="E344" s="33" t="s">
        <v>314</v>
      </c>
      <c r="F344" s="28"/>
      <c r="G344" s="54">
        <f>SUM(G345)</f>
        <v>3180.4</v>
      </c>
      <c r="H344" s="54"/>
      <c r="I344" s="26"/>
      <c r="J344"/>
    </row>
    <row r="345" spans="1:10" ht="42.75">
      <c r="A345" s="262" t="s">
        <v>315</v>
      </c>
      <c r="B345" s="23"/>
      <c r="C345" s="33" t="s">
        <v>1190</v>
      </c>
      <c r="D345" s="33" t="s">
        <v>1150</v>
      </c>
      <c r="E345" s="33" t="s">
        <v>314</v>
      </c>
      <c r="F345" s="28" t="s">
        <v>496</v>
      </c>
      <c r="G345" s="54">
        <v>3180.4</v>
      </c>
      <c r="H345" s="54"/>
      <c r="I345" s="26"/>
      <c r="J345">
        <f>SUM('[1]ведомствен.2012'!G179)</f>
        <v>3180.4</v>
      </c>
    </row>
    <row r="346" spans="1:10" ht="32.25" customHeight="1">
      <c r="A346" s="61" t="s">
        <v>257</v>
      </c>
      <c r="B346" s="23"/>
      <c r="C346" s="37" t="s">
        <v>1190</v>
      </c>
      <c r="D346" s="37" t="s">
        <v>1190</v>
      </c>
      <c r="E346" s="37"/>
      <c r="F346" s="29"/>
      <c r="G346" s="26">
        <f>SUM(G347+G351+G366+G354)+G362</f>
        <v>36716.6</v>
      </c>
      <c r="H346" s="26">
        <f>SUM(H347+H351+H366+H354)+H362</f>
        <v>7261.6</v>
      </c>
      <c r="I346" s="26">
        <f aca="true" t="shared" si="10" ref="I346:I409">SUM(H346/G346*100)</f>
        <v>19.777430372093278</v>
      </c>
      <c r="J346"/>
    </row>
    <row r="347" spans="1:9" s="39" customFormat="1" ht="50.25" customHeight="1">
      <c r="A347" s="27" t="s">
        <v>1143</v>
      </c>
      <c r="B347" s="36"/>
      <c r="C347" s="37" t="s">
        <v>1190</v>
      </c>
      <c r="D347" s="37" t="s">
        <v>1190</v>
      </c>
      <c r="E347" s="24" t="s">
        <v>1144</v>
      </c>
      <c r="F347" s="28"/>
      <c r="G347" s="26">
        <f>SUM(G348+G351)</f>
        <v>16172.1</v>
      </c>
      <c r="H347" s="26">
        <f>SUM(H348)</f>
        <v>0</v>
      </c>
      <c r="I347" s="26">
        <f t="shared" si="10"/>
        <v>0</v>
      </c>
    </row>
    <row r="348" spans="1:9" s="39" customFormat="1" ht="24" customHeight="1">
      <c r="A348" s="27" t="s">
        <v>1151</v>
      </c>
      <c r="B348" s="36"/>
      <c r="C348" s="37" t="s">
        <v>1190</v>
      </c>
      <c r="D348" s="37" t="s">
        <v>1190</v>
      </c>
      <c r="E348" s="24" t="s">
        <v>1153</v>
      </c>
      <c r="F348" s="28"/>
      <c r="G348" s="26">
        <f>SUM(G349)</f>
        <v>16172.1</v>
      </c>
      <c r="H348" s="26">
        <f>SUM(H350)</f>
        <v>0</v>
      </c>
      <c r="I348" s="26">
        <f t="shared" si="10"/>
        <v>0</v>
      </c>
    </row>
    <row r="349" spans="1:13" s="39" customFormat="1" ht="21" customHeight="1">
      <c r="A349" s="27" t="s">
        <v>1147</v>
      </c>
      <c r="B349" s="36"/>
      <c r="C349" s="37" t="s">
        <v>1190</v>
      </c>
      <c r="D349" s="37" t="s">
        <v>1190</v>
      </c>
      <c r="E349" s="24" t="s">
        <v>1153</v>
      </c>
      <c r="F349" s="28" t="s">
        <v>1148</v>
      </c>
      <c r="G349" s="26">
        <v>16172.1</v>
      </c>
      <c r="H349" s="26">
        <f>SUM(H350)</f>
        <v>0</v>
      </c>
      <c r="I349" s="26">
        <f t="shared" si="10"/>
        <v>0</v>
      </c>
      <c r="J349" s="180">
        <f>SUM('[1]ведомствен.2012'!G183)+'[1]ведомствен.2012'!G658</f>
        <v>16172.1</v>
      </c>
      <c r="M349" s="180" t="e">
        <f>SUM(#REF!)</f>
        <v>#REF!</v>
      </c>
    </row>
    <row r="350" spans="1:9" s="39" customFormat="1" ht="15" customHeight="1" hidden="1">
      <c r="A350" s="262" t="s">
        <v>261</v>
      </c>
      <c r="B350" s="23"/>
      <c r="C350" s="37" t="s">
        <v>1190</v>
      </c>
      <c r="D350" s="37" t="s">
        <v>1190</v>
      </c>
      <c r="E350" s="37" t="s">
        <v>260</v>
      </c>
      <c r="F350" s="28" t="s">
        <v>199</v>
      </c>
      <c r="G350" s="54"/>
      <c r="H350" s="54"/>
      <c r="I350" s="26" t="e">
        <f t="shared" si="10"/>
        <v>#DIV/0!</v>
      </c>
    </row>
    <row r="351" spans="1:10" ht="28.5" customHeight="1" hidden="1">
      <c r="A351" s="38" t="s">
        <v>262</v>
      </c>
      <c r="B351" s="23"/>
      <c r="C351" s="37" t="s">
        <v>1190</v>
      </c>
      <c r="D351" s="37" t="s">
        <v>1190</v>
      </c>
      <c r="E351" s="37" t="s">
        <v>263</v>
      </c>
      <c r="F351" s="29"/>
      <c r="G351" s="26">
        <f>SUM(G352)</f>
        <v>0</v>
      </c>
      <c r="H351" s="26">
        <f>SUM(H352)</f>
        <v>0</v>
      </c>
      <c r="I351" s="26" t="e">
        <f t="shared" si="10"/>
        <v>#DIV/0!</v>
      </c>
      <c r="J351"/>
    </row>
    <row r="352" spans="1:10" ht="28.5" customHeight="1" hidden="1">
      <c r="A352" s="38" t="s">
        <v>445</v>
      </c>
      <c r="B352" s="23"/>
      <c r="C352" s="37" t="s">
        <v>1190</v>
      </c>
      <c r="D352" s="37" t="s">
        <v>1190</v>
      </c>
      <c r="E352" s="37" t="s">
        <v>264</v>
      </c>
      <c r="F352" s="29"/>
      <c r="G352" s="26">
        <f>SUM(G353)</f>
        <v>0</v>
      </c>
      <c r="H352" s="26">
        <f>SUM(H353)</f>
        <v>0</v>
      </c>
      <c r="I352" s="26" t="e">
        <f t="shared" si="10"/>
        <v>#DIV/0!</v>
      </c>
      <c r="J352"/>
    </row>
    <row r="353" spans="1:10" ht="15" customHeight="1" hidden="1">
      <c r="A353" s="262" t="s">
        <v>261</v>
      </c>
      <c r="B353" s="23"/>
      <c r="C353" s="37" t="s">
        <v>1190</v>
      </c>
      <c r="D353" s="37" t="s">
        <v>1190</v>
      </c>
      <c r="E353" s="37" t="s">
        <v>264</v>
      </c>
      <c r="F353" s="28" t="s">
        <v>199</v>
      </c>
      <c r="G353" s="54">
        <f>SUM('[2]Ведомств.'!F241)</f>
        <v>0</v>
      </c>
      <c r="H353" s="54">
        <f>SUM('[2]Ведомств.'!G241)</f>
        <v>0</v>
      </c>
      <c r="I353" s="26" t="e">
        <f t="shared" si="10"/>
        <v>#DIV/0!</v>
      </c>
      <c r="J353"/>
    </row>
    <row r="354" spans="1:10" ht="15" customHeight="1" hidden="1">
      <c r="A354" s="38" t="s">
        <v>990</v>
      </c>
      <c r="B354" s="50"/>
      <c r="C354" s="37" t="s">
        <v>1190</v>
      </c>
      <c r="D354" s="37" t="s">
        <v>1190</v>
      </c>
      <c r="E354" s="51" t="s">
        <v>991</v>
      </c>
      <c r="F354" s="28"/>
      <c r="G354" s="54">
        <f>SUM(G355+G360)</f>
        <v>0</v>
      </c>
      <c r="H354" s="54">
        <f>SUM(H355+H360)</f>
        <v>4731.200000000001</v>
      </c>
      <c r="I354" s="26" t="e">
        <f t="shared" si="10"/>
        <v>#DIV/0!</v>
      </c>
      <c r="J354"/>
    </row>
    <row r="355" spans="1:10" ht="42.75" customHeight="1" hidden="1">
      <c r="A355" s="35" t="s">
        <v>1123</v>
      </c>
      <c r="B355" s="50"/>
      <c r="C355" s="37" t="s">
        <v>1190</v>
      </c>
      <c r="D355" s="37" t="s">
        <v>1190</v>
      </c>
      <c r="E355" s="51" t="s">
        <v>1124</v>
      </c>
      <c r="F355" s="28"/>
      <c r="G355" s="54">
        <f>SUM(G356+G358)</f>
        <v>0</v>
      </c>
      <c r="H355" s="54">
        <f>SUM(H356+H358)</f>
        <v>4731.200000000001</v>
      </c>
      <c r="I355" s="26" t="e">
        <f t="shared" si="10"/>
        <v>#DIV/0!</v>
      </c>
      <c r="J355"/>
    </row>
    <row r="356" spans="1:10" ht="28.5" customHeight="1" hidden="1">
      <c r="A356" s="38" t="s">
        <v>445</v>
      </c>
      <c r="B356" s="23"/>
      <c r="C356" s="37" t="s">
        <v>1190</v>
      </c>
      <c r="D356" s="37" t="s">
        <v>1190</v>
      </c>
      <c r="E356" s="51" t="s">
        <v>446</v>
      </c>
      <c r="F356" s="28"/>
      <c r="G356" s="54">
        <f>SUM(G357+G365)</f>
        <v>0</v>
      </c>
      <c r="H356" s="54">
        <f>SUM(H357+H365)</f>
        <v>4731.200000000001</v>
      </c>
      <c r="I356" s="26" t="e">
        <f t="shared" si="10"/>
        <v>#DIV/0!</v>
      </c>
      <c r="J356"/>
    </row>
    <row r="357" spans="1:10" ht="15" customHeight="1" hidden="1">
      <c r="A357" s="262" t="s">
        <v>261</v>
      </c>
      <c r="B357" s="23"/>
      <c r="C357" s="37" t="s">
        <v>1190</v>
      </c>
      <c r="D357" s="37" t="s">
        <v>1190</v>
      </c>
      <c r="E357" s="51" t="s">
        <v>446</v>
      </c>
      <c r="F357" s="28" t="s">
        <v>199</v>
      </c>
      <c r="G357" s="54"/>
      <c r="H357" s="54">
        <v>2740.8</v>
      </c>
      <c r="I357" s="26" t="e">
        <f t="shared" si="10"/>
        <v>#DIV/0!</v>
      </c>
      <c r="J357"/>
    </row>
    <row r="358" spans="1:10" ht="28.5" customHeight="1" hidden="1">
      <c r="A358" s="262" t="s">
        <v>265</v>
      </c>
      <c r="B358" s="23"/>
      <c r="C358" s="37" t="s">
        <v>1190</v>
      </c>
      <c r="D358" s="37" t="s">
        <v>1190</v>
      </c>
      <c r="E358" s="51" t="s">
        <v>266</v>
      </c>
      <c r="F358" s="28"/>
      <c r="G358" s="54"/>
      <c r="H358" s="54">
        <f>SUM(H359)</f>
        <v>0</v>
      </c>
      <c r="I358" s="26" t="e">
        <f t="shared" si="10"/>
        <v>#DIV/0!</v>
      </c>
      <c r="J358"/>
    </row>
    <row r="359" spans="1:10" ht="15" customHeight="1" hidden="1">
      <c r="A359" s="262" t="s">
        <v>261</v>
      </c>
      <c r="B359" s="23"/>
      <c r="C359" s="37" t="s">
        <v>1190</v>
      </c>
      <c r="D359" s="37" t="s">
        <v>1190</v>
      </c>
      <c r="E359" s="51" t="s">
        <v>266</v>
      </c>
      <c r="F359" s="28" t="s">
        <v>199</v>
      </c>
      <c r="G359" s="54"/>
      <c r="H359" s="54"/>
      <c r="I359" s="26" t="e">
        <f t="shared" si="10"/>
        <v>#DIV/0!</v>
      </c>
      <c r="J359"/>
    </row>
    <row r="360" spans="1:10" ht="28.5" customHeight="1" hidden="1">
      <c r="A360" s="262" t="s">
        <v>267</v>
      </c>
      <c r="B360" s="23"/>
      <c r="C360" s="37" t="s">
        <v>1190</v>
      </c>
      <c r="D360" s="37" t="s">
        <v>1190</v>
      </c>
      <c r="E360" s="51" t="s">
        <v>268</v>
      </c>
      <c r="F360" s="28"/>
      <c r="G360" s="54"/>
      <c r="H360" s="54">
        <f>SUM(H361)</f>
        <v>0</v>
      </c>
      <c r="I360" s="26" t="e">
        <f t="shared" si="10"/>
        <v>#DIV/0!</v>
      </c>
      <c r="J360"/>
    </row>
    <row r="361" spans="1:10" ht="15" customHeight="1" hidden="1">
      <c r="A361" s="262" t="s">
        <v>261</v>
      </c>
      <c r="B361" s="23"/>
      <c r="C361" s="37" t="s">
        <v>1190</v>
      </c>
      <c r="D361" s="37" t="s">
        <v>1190</v>
      </c>
      <c r="E361" s="51" t="s">
        <v>268</v>
      </c>
      <c r="F361" s="28" t="s">
        <v>199</v>
      </c>
      <c r="G361" s="54"/>
      <c r="H361" s="54"/>
      <c r="I361" s="26" t="e">
        <f t="shared" si="10"/>
        <v>#DIV/0!</v>
      </c>
      <c r="J361"/>
    </row>
    <row r="362" spans="1:10" ht="28.5" customHeight="1" hidden="1">
      <c r="A362" s="262" t="s">
        <v>269</v>
      </c>
      <c r="B362" s="23"/>
      <c r="C362" s="37" t="s">
        <v>1190</v>
      </c>
      <c r="D362" s="37" t="s">
        <v>1190</v>
      </c>
      <c r="E362" s="51" t="s">
        <v>270</v>
      </c>
      <c r="F362" s="28"/>
      <c r="G362" s="54"/>
      <c r="H362" s="54">
        <f>SUM(H363)</f>
        <v>0</v>
      </c>
      <c r="I362" s="26" t="e">
        <f t="shared" si="10"/>
        <v>#DIV/0!</v>
      </c>
      <c r="J362"/>
    </row>
    <row r="363" spans="1:10" ht="15" hidden="1">
      <c r="A363" s="262" t="s">
        <v>271</v>
      </c>
      <c r="B363" s="23"/>
      <c r="C363" s="37" t="s">
        <v>1190</v>
      </c>
      <c r="D363" s="37" t="s">
        <v>1190</v>
      </c>
      <c r="E363" s="51" t="s">
        <v>272</v>
      </c>
      <c r="F363" s="28"/>
      <c r="G363" s="54"/>
      <c r="H363" s="54">
        <f>SUM(H364)</f>
        <v>0</v>
      </c>
      <c r="I363" s="26" t="e">
        <f t="shared" si="10"/>
        <v>#DIV/0!</v>
      </c>
      <c r="J363"/>
    </row>
    <row r="364" spans="1:10" ht="15" hidden="1">
      <c r="A364" s="262" t="s">
        <v>261</v>
      </c>
      <c r="B364" s="23"/>
      <c r="C364" s="37" t="s">
        <v>1190</v>
      </c>
      <c r="D364" s="37" t="s">
        <v>1190</v>
      </c>
      <c r="E364" s="51" t="s">
        <v>272</v>
      </c>
      <c r="F364" s="28" t="s">
        <v>199</v>
      </c>
      <c r="G364" s="54"/>
      <c r="H364" s="54"/>
      <c r="I364" s="26" t="e">
        <f t="shared" si="10"/>
        <v>#DIV/0!</v>
      </c>
      <c r="J364"/>
    </row>
    <row r="365" spans="1:10" ht="15" hidden="1">
      <c r="A365" s="27" t="s">
        <v>1147</v>
      </c>
      <c r="B365" s="23"/>
      <c r="C365" s="37" t="s">
        <v>1190</v>
      </c>
      <c r="D365" s="37" t="s">
        <v>1190</v>
      </c>
      <c r="E365" s="51" t="s">
        <v>446</v>
      </c>
      <c r="F365" s="28" t="s">
        <v>1148</v>
      </c>
      <c r="G365" s="54"/>
      <c r="H365" s="54">
        <v>1990.4</v>
      </c>
      <c r="I365" s="26" t="e">
        <f t="shared" si="10"/>
        <v>#DIV/0!</v>
      </c>
      <c r="J365"/>
    </row>
    <row r="366" spans="1:10" ht="15">
      <c r="A366" s="27" t="s">
        <v>1186</v>
      </c>
      <c r="B366" s="23"/>
      <c r="C366" s="37" t="s">
        <v>1190</v>
      </c>
      <c r="D366" s="37" t="s">
        <v>1190</v>
      </c>
      <c r="E366" s="24" t="s">
        <v>1187</v>
      </c>
      <c r="F366" s="29"/>
      <c r="G366" s="26">
        <f>SUM(G368+G377)+G383+G371+G374</f>
        <v>20544.5</v>
      </c>
      <c r="H366" s="26">
        <f>SUM(H368+H377)</f>
        <v>2530.4</v>
      </c>
      <c r="I366" s="26">
        <f t="shared" si="10"/>
        <v>12.316678429750056</v>
      </c>
      <c r="J366"/>
    </row>
    <row r="367" spans="1:10" ht="15">
      <c r="A367" s="262" t="s">
        <v>261</v>
      </c>
      <c r="B367" s="23"/>
      <c r="C367" s="37" t="s">
        <v>1190</v>
      </c>
      <c r="D367" s="37" t="s">
        <v>1190</v>
      </c>
      <c r="E367" s="24" t="s">
        <v>1187</v>
      </c>
      <c r="F367" s="29" t="s">
        <v>199</v>
      </c>
      <c r="G367" s="26">
        <f>SUM(G368:G377)</f>
        <v>26175.5</v>
      </c>
      <c r="H367" s="26">
        <f>SUM(H368:H377)</f>
        <v>3022.5</v>
      </c>
      <c r="I367" s="26">
        <f t="shared" si="10"/>
        <v>11.547057362801093</v>
      </c>
      <c r="J367"/>
    </row>
    <row r="368" spans="1:9" s="82" customFormat="1" ht="15">
      <c r="A368" s="76" t="s">
        <v>273</v>
      </c>
      <c r="B368" s="80"/>
      <c r="C368" s="81" t="s">
        <v>1190</v>
      </c>
      <c r="D368" s="81" t="s">
        <v>1190</v>
      </c>
      <c r="E368" s="47" t="s">
        <v>274</v>
      </c>
      <c r="F368" s="29"/>
      <c r="G368" s="75">
        <f>SUM(G369)</f>
        <v>2711</v>
      </c>
      <c r="H368" s="75">
        <f>SUM(H370)</f>
        <v>492.1</v>
      </c>
      <c r="I368" s="26">
        <f t="shared" si="10"/>
        <v>18.15197344153449</v>
      </c>
    </row>
    <row r="369" spans="1:10" s="39" customFormat="1" ht="18.75" customHeight="1">
      <c r="A369" s="294" t="s">
        <v>198</v>
      </c>
      <c r="B369" s="315"/>
      <c r="C369" s="81" t="s">
        <v>1190</v>
      </c>
      <c r="D369" s="81" t="s">
        <v>1190</v>
      </c>
      <c r="E369" s="81" t="s">
        <v>274</v>
      </c>
      <c r="F369" s="28" t="s">
        <v>199</v>
      </c>
      <c r="G369" s="75">
        <v>2711</v>
      </c>
      <c r="H369" s="75"/>
      <c r="I369" s="26"/>
      <c r="J369" s="39">
        <f>SUM('[1]ведомствен.2012'!G469)</f>
        <v>2711</v>
      </c>
    </row>
    <row r="370" spans="1:10" s="82" customFormat="1" ht="0.75" customHeight="1" hidden="1">
      <c r="A370" s="286" t="s">
        <v>1017</v>
      </c>
      <c r="B370" s="23"/>
      <c r="C370" s="37" t="s">
        <v>1190</v>
      </c>
      <c r="D370" s="37" t="s">
        <v>1190</v>
      </c>
      <c r="E370" s="47" t="s">
        <v>274</v>
      </c>
      <c r="F370" s="28" t="s">
        <v>496</v>
      </c>
      <c r="G370" s="75"/>
      <c r="H370" s="75">
        <v>492.1</v>
      </c>
      <c r="I370" s="26" t="e">
        <f t="shared" si="10"/>
        <v>#DIV/0!</v>
      </c>
      <c r="J370" s="82">
        <f>SUM('[1]ведомствен.2012'!G470)</f>
        <v>0</v>
      </c>
    </row>
    <row r="371" spans="1:9" s="82" customFormat="1" ht="31.5" customHeight="1">
      <c r="A371" s="267" t="s">
        <v>1011</v>
      </c>
      <c r="B371" s="77"/>
      <c r="C371" s="51" t="s">
        <v>1190</v>
      </c>
      <c r="D371" s="51" t="s">
        <v>1190</v>
      </c>
      <c r="E371" s="51" t="s">
        <v>1010</v>
      </c>
      <c r="F371" s="25"/>
      <c r="G371" s="26">
        <f>SUM(G372)</f>
        <v>5370</v>
      </c>
      <c r="H371" s="26">
        <f>SUM(H373)</f>
        <v>0</v>
      </c>
      <c r="I371" s="26">
        <f t="shared" si="10"/>
        <v>0</v>
      </c>
    </row>
    <row r="372" spans="1:10" s="82" customFormat="1" ht="21.75" customHeight="1">
      <c r="A372" s="294" t="s">
        <v>198</v>
      </c>
      <c r="B372" s="77"/>
      <c r="C372" s="51" t="s">
        <v>1190</v>
      </c>
      <c r="D372" s="51" t="s">
        <v>1190</v>
      </c>
      <c r="E372" s="51" t="s">
        <v>1010</v>
      </c>
      <c r="F372" s="25" t="s">
        <v>199</v>
      </c>
      <c r="G372" s="26">
        <v>5370</v>
      </c>
      <c r="H372" s="26"/>
      <c r="I372" s="26"/>
      <c r="J372" s="82">
        <f>SUM('[1]ведомствен.2012'!G472)</f>
        <v>5370</v>
      </c>
    </row>
    <row r="373" spans="1:9" s="82" customFormat="1" ht="42.75" hidden="1">
      <c r="A373" s="286" t="s">
        <v>1017</v>
      </c>
      <c r="B373" s="77"/>
      <c r="C373" s="37" t="s">
        <v>1190</v>
      </c>
      <c r="D373" s="37" t="s">
        <v>1190</v>
      </c>
      <c r="E373" s="51" t="s">
        <v>1010</v>
      </c>
      <c r="F373" s="52" t="s">
        <v>496</v>
      </c>
      <c r="G373" s="54"/>
      <c r="H373" s="54"/>
      <c r="I373" s="26" t="e">
        <f t="shared" si="10"/>
        <v>#DIV/0!</v>
      </c>
    </row>
    <row r="374" spans="1:9" s="82" customFormat="1" ht="44.25" customHeight="1">
      <c r="A374" s="267" t="s">
        <v>1013</v>
      </c>
      <c r="B374" s="77"/>
      <c r="C374" s="51" t="s">
        <v>1190</v>
      </c>
      <c r="D374" s="51" t="s">
        <v>1190</v>
      </c>
      <c r="E374" s="51" t="s">
        <v>1012</v>
      </c>
      <c r="F374" s="25"/>
      <c r="G374" s="26">
        <f>SUM(G375)</f>
        <v>530</v>
      </c>
      <c r="H374" s="26">
        <f>SUM(H376)</f>
        <v>0</v>
      </c>
      <c r="I374" s="26">
        <f>SUM(H374/G374*100)</f>
        <v>0</v>
      </c>
    </row>
    <row r="375" spans="1:10" s="82" customFormat="1" ht="24" customHeight="1">
      <c r="A375" s="294" t="s">
        <v>198</v>
      </c>
      <c r="B375" s="77"/>
      <c r="C375" s="51" t="s">
        <v>1190</v>
      </c>
      <c r="D375" s="51" t="s">
        <v>1190</v>
      </c>
      <c r="E375" s="51" t="s">
        <v>1012</v>
      </c>
      <c r="F375" s="25" t="s">
        <v>199</v>
      </c>
      <c r="G375" s="26">
        <v>530</v>
      </c>
      <c r="H375" s="26"/>
      <c r="I375" s="26"/>
      <c r="J375" s="82">
        <f>SUM('[1]ведомствен.2012'!G475)</f>
        <v>530</v>
      </c>
    </row>
    <row r="376" spans="1:9" s="82" customFormat="1" ht="0.75" customHeight="1" hidden="1">
      <c r="A376" s="286" t="s">
        <v>1017</v>
      </c>
      <c r="B376" s="77"/>
      <c r="C376" s="37" t="s">
        <v>1190</v>
      </c>
      <c r="D376" s="37" t="s">
        <v>1190</v>
      </c>
      <c r="E376" s="51" t="s">
        <v>1012</v>
      </c>
      <c r="F376" s="52" t="s">
        <v>496</v>
      </c>
      <c r="G376" s="54"/>
      <c r="H376" s="54"/>
      <c r="I376" s="26" t="e">
        <f>SUM(H376/G376*100)</f>
        <v>#DIV/0!</v>
      </c>
    </row>
    <row r="377" spans="1:10" ht="28.5">
      <c r="A377" s="262" t="s">
        <v>1110</v>
      </c>
      <c r="B377" s="23"/>
      <c r="C377" s="37" t="s">
        <v>1190</v>
      </c>
      <c r="D377" s="37" t="s">
        <v>1190</v>
      </c>
      <c r="E377" s="24" t="s">
        <v>454</v>
      </c>
      <c r="F377" s="29"/>
      <c r="G377" s="26">
        <f>SUM(G378+G381)</f>
        <v>8953.5</v>
      </c>
      <c r="H377" s="26">
        <f>SUM(H378+H381)</f>
        <v>2038.3</v>
      </c>
      <c r="I377" s="26">
        <f t="shared" si="10"/>
        <v>22.76539900597532</v>
      </c>
      <c r="J377"/>
    </row>
    <row r="378" spans="1:9" s="82" customFormat="1" ht="28.5">
      <c r="A378" s="76" t="s">
        <v>445</v>
      </c>
      <c r="B378" s="80"/>
      <c r="C378" s="37" t="s">
        <v>1190</v>
      </c>
      <c r="D378" s="37" t="s">
        <v>1190</v>
      </c>
      <c r="E378" s="24" t="s">
        <v>455</v>
      </c>
      <c r="F378" s="29"/>
      <c r="G378" s="75">
        <f>SUM(G379:G380)</f>
        <v>6283.5</v>
      </c>
      <c r="H378" s="75">
        <f>SUM(H379:H380)</f>
        <v>1157.5</v>
      </c>
      <c r="I378" s="26">
        <f t="shared" si="10"/>
        <v>18.421262035489775</v>
      </c>
    </row>
    <row r="379" spans="1:10" s="82" customFormat="1" ht="15">
      <c r="A379" s="294" t="s">
        <v>198</v>
      </c>
      <c r="B379" s="23"/>
      <c r="C379" s="37" t="s">
        <v>1190</v>
      </c>
      <c r="D379" s="37" t="s">
        <v>1190</v>
      </c>
      <c r="E379" s="24" t="s">
        <v>455</v>
      </c>
      <c r="F379" s="28" t="s">
        <v>199</v>
      </c>
      <c r="G379" s="54">
        <v>6283.5</v>
      </c>
      <c r="H379" s="54">
        <v>1157.5</v>
      </c>
      <c r="I379" s="26">
        <f t="shared" si="10"/>
        <v>18.421262035489775</v>
      </c>
      <c r="J379" s="82">
        <f>SUM('[1]ведомствен.2012'!G479)</f>
        <v>6283.5</v>
      </c>
    </row>
    <row r="380" spans="1:9" s="82" customFormat="1" ht="20.25" customHeight="1" hidden="1">
      <c r="A380" s="27" t="s">
        <v>1147</v>
      </c>
      <c r="B380" s="77"/>
      <c r="C380" s="37" t="s">
        <v>1190</v>
      </c>
      <c r="D380" s="37" t="s">
        <v>1190</v>
      </c>
      <c r="E380" s="24" t="s">
        <v>455</v>
      </c>
      <c r="F380" s="55" t="s">
        <v>1148</v>
      </c>
      <c r="G380" s="75"/>
      <c r="H380" s="75"/>
      <c r="I380" s="26" t="e">
        <f t="shared" si="10"/>
        <v>#DIV/0!</v>
      </c>
    </row>
    <row r="381" spans="1:10" ht="28.5">
      <c r="A381" s="294" t="s">
        <v>265</v>
      </c>
      <c r="B381" s="23"/>
      <c r="C381" s="37" t="s">
        <v>1190</v>
      </c>
      <c r="D381" s="37" t="s">
        <v>1190</v>
      </c>
      <c r="E381" s="24" t="s">
        <v>1085</v>
      </c>
      <c r="F381" s="29"/>
      <c r="G381" s="26">
        <f>SUM(G382)</f>
        <v>2670</v>
      </c>
      <c r="H381" s="26">
        <f>SUM(H382)</f>
        <v>880.8</v>
      </c>
      <c r="I381" s="26">
        <f t="shared" si="10"/>
        <v>32.98876404494382</v>
      </c>
      <c r="J381"/>
    </row>
    <row r="382" spans="1:13" ht="15">
      <c r="A382" s="294" t="s">
        <v>198</v>
      </c>
      <c r="B382" s="23"/>
      <c r="C382" s="37" t="s">
        <v>1190</v>
      </c>
      <c r="D382" s="37" t="s">
        <v>1190</v>
      </c>
      <c r="E382" s="24" t="s">
        <v>1085</v>
      </c>
      <c r="F382" s="28" t="s">
        <v>199</v>
      </c>
      <c r="G382" s="26">
        <v>2670</v>
      </c>
      <c r="H382" s="26">
        <v>880.8</v>
      </c>
      <c r="I382" s="26">
        <f t="shared" si="10"/>
        <v>32.98876404494382</v>
      </c>
      <c r="J382" s="82">
        <f>SUM('[1]ведомствен.2012'!G482)</f>
        <v>2670</v>
      </c>
      <c r="M382" s="180" t="e">
        <f>SUM(#REF!+#REF!)</f>
        <v>#REF!</v>
      </c>
    </row>
    <row r="383" spans="1:10" ht="32.25" customHeight="1">
      <c r="A383" s="262" t="s">
        <v>835</v>
      </c>
      <c r="B383" s="23"/>
      <c r="C383" s="37" t="s">
        <v>1190</v>
      </c>
      <c r="D383" s="37" t="s">
        <v>1190</v>
      </c>
      <c r="E383" s="51" t="s">
        <v>469</v>
      </c>
      <c r="F383" s="28"/>
      <c r="G383" s="54">
        <f>SUM(G384)</f>
        <v>2980</v>
      </c>
      <c r="H383" s="54">
        <f>SUM(H384)</f>
        <v>0</v>
      </c>
      <c r="I383" s="26">
        <f t="shared" si="10"/>
        <v>0</v>
      </c>
      <c r="J383"/>
    </row>
    <row r="384" spans="1:13" ht="15">
      <c r="A384" s="294" t="s">
        <v>198</v>
      </c>
      <c r="B384" s="23"/>
      <c r="C384" s="37" t="s">
        <v>1190</v>
      </c>
      <c r="D384" s="37" t="s">
        <v>1190</v>
      </c>
      <c r="E384" s="51" t="s">
        <v>469</v>
      </c>
      <c r="F384" s="28" t="s">
        <v>199</v>
      </c>
      <c r="G384" s="54">
        <v>2980</v>
      </c>
      <c r="H384" s="54"/>
      <c r="I384" s="26">
        <f t="shared" si="10"/>
        <v>0</v>
      </c>
      <c r="J384" s="82">
        <f>SUM('[1]ведомствен.2012'!G484)</f>
        <v>2980</v>
      </c>
      <c r="M384" s="180" t="e">
        <f>SUM(#REF!)</f>
        <v>#REF!</v>
      </c>
    </row>
    <row r="385" spans="1:13" s="22" customFormat="1" ht="15.75">
      <c r="A385" s="263" t="s">
        <v>276</v>
      </c>
      <c r="B385" s="42"/>
      <c r="C385" s="59" t="s">
        <v>642</v>
      </c>
      <c r="D385" s="59"/>
      <c r="E385" s="59"/>
      <c r="F385" s="60"/>
      <c r="G385" s="45">
        <f>SUM(G386)+G390</f>
        <v>11009.8</v>
      </c>
      <c r="H385" s="45">
        <f>SUM(H386)+H390</f>
        <v>2547</v>
      </c>
      <c r="I385" s="45">
        <f t="shared" si="10"/>
        <v>23.133935221348253</v>
      </c>
      <c r="K385" s="22">
        <f>SUM(J386:J401)</f>
        <v>11009.8</v>
      </c>
      <c r="L385" s="22">
        <f>SUM('[1]ведомствен.2012'!G485+'[1]ведомствен.2012'!G659)</f>
        <v>11009.800000000001</v>
      </c>
      <c r="M385" s="22" t="e">
        <f>SUM(#REF!)</f>
        <v>#REF!</v>
      </c>
    </row>
    <row r="386" spans="1:10" ht="27.75" customHeight="1">
      <c r="A386" s="35" t="s">
        <v>277</v>
      </c>
      <c r="B386" s="23"/>
      <c r="C386" s="24" t="s">
        <v>642</v>
      </c>
      <c r="D386" s="24" t="s">
        <v>1150</v>
      </c>
      <c r="E386" s="24"/>
      <c r="F386" s="25"/>
      <c r="G386" s="26">
        <f>SUM(G389)</f>
        <v>4709.8</v>
      </c>
      <c r="H386" s="26">
        <f>SUM(H389)</f>
        <v>2199.7</v>
      </c>
      <c r="I386" s="26">
        <f t="shared" si="10"/>
        <v>46.704743301201745</v>
      </c>
      <c r="J386"/>
    </row>
    <row r="387" spans="1:10" ht="15">
      <c r="A387" s="35" t="s">
        <v>278</v>
      </c>
      <c r="B387" s="23"/>
      <c r="C387" s="24" t="s">
        <v>642</v>
      </c>
      <c r="D387" s="24" t="s">
        <v>1150</v>
      </c>
      <c r="E387" s="24" t="s">
        <v>279</v>
      </c>
      <c r="F387" s="25"/>
      <c r="G387" s="26">
        <f>SUM(G388)</f>
        <v>4709.8</v>
      </c>
      <c r="H387" s="26">
        <f>SUM(H388)</f>
        <v>2199.7</v>
      </c>
      <c r="I387" s="26">
        <f t="shared" si="10"/>
        <v>46.704743301201745</v>
      </c>
      <c r="J387"/>
    </row>
    <row r="388" spans="1:10" ht="28.5" customHeight="1">
      <c r="A388" s="35" t="s">
        <v>493</v>
      </c>
      <c r="B388" s="83"/>
      <c r="C388" s="57" t="s">
        <v>642</v>
      </c>
      <c r="D388" s="57" t="s">
        <v>1150</v>
      </c>
      <c r="E388" s="57" t="s">
        <v>280</v>
      </c>
      <c r="F388" s="29"/>
      <c r="G388" s="26">
        <f>SUM(G389)</f>
        <v>4709.8</v>
      </c>
      <c r="H388" s="26">
        <f>SUM(H389)</f>
        <v>2199.7</v>
      </c>
      <c r="I388" s="26">
        <f t="shared" si="10"/>
        <v>46.704743301201745</v>
      </c>
      <c r="J388"/>
    </row>
    <row r="389" spans="1:13" ht="15.75" customHeight="1">
      <c r="A389" s="41" t="s">
        <v>494</v>
      </c>
      <c r="B389" s="23"/>
      <c r="C389" s="24" t="s">
        <v>642</v>
      </c>
      <c r="D389" s="24" t="s">
        <v>1150</v>
      </c>
      <c r="E389" s="57" t="s">
        <v>280</v>
      </c>
      <c r="F389" s="29" t="s">
        <v>142</v>
      </c>
      <c r="G389" s="26">
        <v>4709.8</v>
      </c>
      <c r="H389" s="26">
        <v>2199.7</v>
      </c>
      <c r="I389" s="26">
        <f t="shared" si="10"/>
        <v>46.704743301201745</v>
      </c>
      <c r="J389" s="180">
        <f>SUM('[1]ведомствен.2012'!G489)+'[1]ведомствен.2012'!G663</f>
        <v>4709.8</v>
      </c>
      <c r="M389" s="180" t="e">
        <f>SUM(#REF!)</f>
        <v>#REF!</v>
      </c>
    </row>
    <row r="390" spans="1:10" ht="17.25" customHeight="1">
      <c r="A390" s="99" t="s">
        <v>281</v>
      </c>
      <c r="B390" s="23"/>
      <c r="C390" s="84" t="s">
        <v>642</v>
      </c>
      <c r="D390" s="84" t="s">
        <v>1190</v>
      </c>
      <c r="E390" s="84"/>
      <c r="F390" s="49"/>
      <c r="G390" s="54">
        <f>SUM(G394)+G391</f>
        <v>6300</v>
      </c>
      <c r="H390" s="54">
        <f>SUM(H394)+H391</f>
        <v>347.3</v>
      </c>
      <c r="I390" s="26">
        <f t="shared" si="10"/>
        <v>5.512698412698413</v>
      </c>
      <c r="J390"/>
    </row>
    <row r="391" spans="1:10" ht="16.5" customHeight="1" hidden="1">
      <c r="A391" s="38" t="s">
        <v>990</v>
      </c>
      <c r="B391" s="23"/>
      <c r="C391" s="84" t="s">
        <v>642</v>
      </c>
      <c r="D391" s="84" t="s">
        <v>1190</v>
      </c>
      <c r="E391" s="24" t="s">
        <v>991</v>
      </c>
      <c r="F391" s="49"/>
      <c r="G391" s="54">
        <f>SUM(G392)</f>
        <v>0</v>
      </c>
      <c r="H391" s="54">
        <f>SUM(H392)</f>
        <v>0</v>
      </c>
      <c r="I391" s="26" t="e">
        <f t="shared" si="10"/>
        <v>#DIV/0!</v>
      </c>
      <c r="J391"/>
    </row>
    <row r="392" spans="1:10" ht="42" customHeight="1" hidden="1">
      <c r="A392" s="38" t="s">
        <v>282</v>
      </c>
      <c r="B392" s="23"/>
      <c r="C392" s="84" t="s">
        <v>642</v>
      </c>
      <c r="D392" s="84" t="s">
        <v>1190</v>
      </c>
      <c r="E392" s="24" t="s">
        <v>283</v>
      </c>
      <c r="F392" s="29"/>
      <c r="G392" s="54">
        <f>SUM(G393)</f>
        <v>0</v>
      </c>
      <c r="H392" s="54">
        <f>SUM(H393)</f>
        <v>0</v>
      </c>
      <c r="I392" s="26" t="e">
        <f t="shared" si="10"/>
        <v>#DIV/0!</v>
      </c>
      <c r="J392"/>
    </row>
    <row r="393" spans="1:9" s="85" customFormat="1" ht="16.5" customHeight="1" hidden="1">
      <c r="A393" s="262" t="s">
        <v>261</v>
      </c>
      <c r="B393" s="23"/>
      <c r="C393" s="84" t="s">
        <v>642</v>
      </c>
      <c r="D393" s="84" t="s">
        <v>1190</v>
      </c>
      <c r="E393" s="24" t="s">
        <v>283</v>
      </c>
      <c r="F393" s="29" t="s">
        <v>199</v>
      </c>
      <c r="G393" s="54"/>
      <c r="H393" s="54"/>
      <c r="I393" s="26" t="e">
        <f t="shared" si="10"/>
        <v>#DIV/0!</v>
      </c>
    </row>
    <row r="394" spans="1:10" ht="14.25" customHeight="1">
      <c r="A394" s="27" t="s">
        <v>1186</v>
      </c>
      <c r="B394" s="23"/>
      <c r="C394" s="84" t="s">
        <v>642</v>
      </c>
      <c r="D394" s="84" t="s">
        <v>1190</v>
      </c>
      <c r="E394" s="24" t="s">
        <v>1187</v>
      </c>
      <c r="F394" s="49"/>
      <c r="G394" s="54">
        <f>SUM(G397+G398+G402)</f>
        <v>6300</v>
      </c>
      <c r="H394" s="54">
        <f>SUM(H397+H398+H402)</f>
        <v>347.3</v>
      </c>
      <c r="I394" s="26">
        <f t="shared" si="10"/>
        <v>5.512698412698413</v>
      </c>
      <c r="J394"/>
    </row>
    <row r="395" spans="1:10" ht="15" customHeight="1" hidden="1">
      <c r="A395" s="38" t="s">
        <v>284</v>
      </c>
      <c r="B395" s="23"/>
      <c r="C395" s="84" t="s">
        <v>642</v>
      </c>
      <c r="D395" s="84" t="s">
        <v>1190</v>
      </c>
      <c r="E395" s="24" t="s">
        <v>1187</v>
      </c>
      <c r="F395" s="49" t="s">
        <v>285</v>
      </c>
      <c r="G395" s="54"/>
      <c r="H395" s="54"/>
      <c r="I395" s="26" t="e">
        <f t="shared" si="10"/>
        <v>#DIV/0!</v>
      </c>
      <c r="J395"/>
    </row>
    <row r="396" spans="1:10" ht="26.25" customHeight="1" hidden="1">
      <c r="A396" s="270" t="s">
        <v>286</v>
      </c>
      <c r="B396" s="23"/>
      <c r="C396" s="84" t="s">
        <v>642</v>
      </c>
      <c r="D396" s="84" t="s">
        <v>1190</v>
      </c>
      <c r="E396" s="86" t="s">
        <v>1187</v>
      </c>
      <c r="F396" s="87" t="s">
        <v>285</v>
      </c>
      <c r="G396" s="88">
        <v>300</v>
      </c>
      <c r="H396" s="88">
        <v>300</v>
      </c>
      <c r="I396" s="26">
        <f t="shared" si="10"/>
        <v>100</v>
      </c>
      <c r="J396"/>
    </row>
    <row r="397" spans="1:10" ht="15" customHeight="1" hidden="1">
      <c r="A397" s="41" t="s">
        <v>141</v>
      </c>
      <c r="B397" s="23"/>
      <c r="C397" s="84" t="s">
        <v>642</v>
      </c>
      <c r="D397" s="84" t="s">
        <v>1190</v>
      </c>
      <c r="E397" s="84" t="s">
        <v>1187</v>
      </c>
      <c r="F397" s="49" t="s">
        <v>142</v>
      </c>
      <c r="G397" s="54"/>
      <c r="H397" s="54"/>
      <c r="I397" s="26" t="e">
        <f t="shared" si="10"/>
        <v>#DIV/0!</v>
      </c>
      <c r="J397"/>
    </row>
    <row r="398" spans="1:10" ht="27.75" customHeight="1">
      <c r="A398" s="99" t="s">
        <v>1047</v>
      </c>
      <c r="B398" s="23"/>
      <c r="C398" s="84" t="s">
        <v>642</v>
      </c>
      <c r="D398" s="84" t="s">
        <v>1190</v>
      </c>
      <c r="E398" s="84" t="s">
        <v>287</v>
      </c>
      <c r="F398" s="49"/>
      <c r="G398" s="54">
        <f>SUM(G399:G401)</f>
        <v>6300</v>
      </c>
      <c r="H398" s="54">
        <f>SUM(H399:H401)</f>
        <v>347.3</v>
      </c>
      <c r="I398" s="26">
        <f t="shared" si="10"/>
        <v>5.512698412698413</v>
      </c>
      <c r="J398"/>
    </row>
    <row r="399" spans="1:10" ht="15">
      <c r="A399" s="294" t="s">
        <v>198</v>
      </c>
      <c r="B399" s="23"/>
      <c r="C399" s="84" t="s">
        <v>642</v>
      </c>
      <c r="D399" s="84" t="s">
        <v>1190</v>
      </c>
      <c r="E399" s="84" t="s">
        <v>287</v>
      </c>
      <c r="F399" s="29" t="s">
        <v>199</v>
      </c>
      <c r="G399" s="54">
        <v>4200</v>
      </c>
      <c r="H399" s="54"/>
      <c r="I399" s="26">
        <f t="shared" si="10"/>
        <v>0</v>
      </c>
      <c r="J399" s="180">
        <f>SUM('[1]ведомствен.2012'!G499)</f>
        <v>4200</v>
      </c>
    </row>
    <row r="400" spans="1:10" ht="15" hidden="1">
      <c r="A400" s="262" t="s">
        <v>1001</v>
      </c>
      <c r="B400" s="23"/>
      <c r="C400" s="33" t="s">
        <v>642</v>
      </c>
      <c r="D400" s="33" t="s">
        <v>1190</v>
      </c>
      <c r="E400" s="33" t="s">
        <v>1054</v>
      </c>
      <c r="F400" s="28" t="s">
        <v>1002</v>
      </c>
      <c r="G400" s="54">
        <f>1300-1300</f>
        <v>0</v>
      </c>
      <c r="H400" s="54"/>
      <c r="I400" s="26"/>
      <c r="J400"/>
    </row>
    <row r="401" spans="1:13" ht="13.5" customHeight="1">
      <c r="A401" s="41" t="s">
        <v>288</v>
      </c>
      <c r="B401" s="23"/>
      <c r="C401" s="84" t="s">
        <v>642</v>
      </c>
      <c r="D401" s="84" t="s">
        <v>1190</v>
      </c>
      <c r="E401" s="84" t="s">
        <v>287</v>
      </c>
      <c r="F401" s="49" t="s">
        <v>289</v>
      </c>
      <c r="G401" s="54">
        <v>2100</v>
      </c>
      <c r="H401" s="54">
        <v>347.3</v>
      </c>
      <c r="I401" s="26">
        <f t="shared" si="10"/>
        <v>16.538095238095238</v>
      </c>
      <c r="J401" s="180">
        <f>SUM('[1]ведомствен.2012'!G501)</f>
        <v>2100</v>
      </c>
      <c r="M401" s="180" t="e">
        <f>SUM(#REF!)</f>
        <v>#REF!</v>
      </c>
    </row>
    <row r="402" spans="1:10" ht="25.5" customHeight="1" hidden="1">
      <c r="A402" s="89" t="s">
        <v>290</v>
      </c>
      <c r="B402" s="23"/>
      <c r="C402" s="84" t="s">
        <v>642</v>
      </c>
      <c r="D402" s="84" t="s">
        <v>1190</v>
      </c>
      <c r="E402" s="84" t="s">
        <v>291</v>
      </c>
      <c r="F402" s="49"/>
      <c r="G402" s="54">
        <f>SUM(G403+G404)</f>
        <v>0</v>
      </c>
      <c r="H402" s="54">
        <f>SUM(H403+H404)</f>
        <v>0</v>
      </c>
      <c r="I402" s="26" t="e">
        <f t="shared" si="10"/>
        <v>#DIV/0!</v>
      </c>
      <c r="J402"/>
    </row>
    <row r="403" spans="1:10" ht="18" customHeight="1" hidden="1">
      <c r="A403" s="262" t="s">
        <v>261</v>
      </c>
      <c r="B403" s="23"/>
      <c r="C403" s="84" t="s">
        <v>642</v>
      </c>
      <c r="D403" s="84" t="s">
        <v>1190</v>
      </c>
      <c r="E403" s="84" t="s">
        <v>291</v>
      </c>
      <c r="F403" s="29" t="s">
        <v>199</v>
      </c>
      <c r="G403" s="54"/>
      <c r="H403" s="54"/>
      <c r="I403" s="26" t="e">
        <f t="shared" si="10"/>
        <v>#DIV/0!</v>
      </c>
      <c r="J403"/>
    </row>
    <row r="404" spans="1:10" ht="21.75" customHeight="1" hidden="1">
      <c r="A404" s="41" t="s">
        <v>288</v>
      </c>
      <c r="B404" s="23"/>
      <c r="C404" s="84" t="s">
        <v>642</v>
      </c>
      <c r="D404" s="84" t="s">
        <v>1190</v>
      </c>
      <c r="E404" s="84" t="s">
        <v>291</v>
      </c>
      <c r="F404" s="49" t="s">
        <v>292</v>
      </c>
      <c r="G404" s="54"/>
      <c r="H404" s="54"/>
      <c r="I404" s="26" t="e">
        <f t="shared" si="10"/>
        <v>#DIV/0!</v>
      </c>
      <c r="J404"/>
    </row>
    <row r="405" spans="1:9" s="85" customFormat="1" ht="12" customHeight="1" hidden="1">
      <c r="A405" s="90" t="s">
        <v>293</v>
      </c>
      <c r="B405" s="91"/>
      <c r="C405" s="86" t="s">
        <v>1140</v>
      </c>
      <c r="D405" s="86" t="s">
        <v>661</v>
      </c>
      <c r="E405" s="86" t="s">
        <v>639</v>
      </c>
      <c r="F405" s="92" t="s">
        <v>659</v>
      </c>
      <c r="G405" s="93">
        <v>5000</v>
      </c>
      <c r="H405" s="93">
        <v>5000</v>
      </c>
      <c r="I405" s="26">
        <f t="shared" si="10"/>
        <v>100</v>
      </c>
    </row>
    <row r="406" spans="1:9" s="85" customFormat="1" ht="12" customHeight="1" hidden="1">
      <c r="A406" s="90" t="s">
        <v>542</v>
      </c>
      <c r="B406" s="30"/>
      <c r="C406" s="86" t="s">
        <v>1140</v>
      </c>
      <c r="D406" s="86" t="s">
        <v>661</v>
      </c>
      <c r="E406" s="86" t="s">
        <v>639</v>
      </c>
      <c r="F406" s="92" t="s">
        <v>659</v>
      </c>
      <c r="G406" s="93">
        <v>2000</v>
      </c>
      <c r="H406" s="93">
        <v>2000</v>
      </c>
      <c r="I406" s="26">
        <f t="shared" si="10"/>
        <v>100</v>
      </c>
    </row>
    <row r="407" spans="1:10" ht="42.75" customHeight="1" hidden="1">
      <c r="A407" s="27" t="s">
        <v>1169</v>
      </c>
      <c r="B407" s="23"/>
      <c r="C407" s="24" t="s">
        <v>1140</v>
      </c>
      <c r="D407" s="24" t="s">
        <v>1157</v>
      </c>
      <c r="E407" s="24" t="s">
        <v>1170</v>
      </c>
      <c r="F407" s="25"/>
      <c r="G407" s="26">
        <f>SUM(G408)</f>
        <v>0</v>
      </c>
      <c r="H407" s="26">
        <f>SUM(H408)</f>
        <v>0</v>
      </c>
      <c r="I407" s="26" t="e">
        <f t="shared" si="10"/>
        <v>#DIV/0!</v>
      </c>
      <c r="J407"/>
    </row>
    <row r="408" spans="1:10" ht="42.75" customHeight="1" hidden="1">
      <c r="A408" s="27" t="s">
        <v>1171</v>
      </c>
      <c r="B408" s="23"/>
      <c r="C408" s="24" t="s">
        <v>1140</v>
      </c>
      <c r="D408" s="24" t="s">
        <v>1157</v>
      </c>
      <c r="E408" s="24" t="s">
        <v>1170</v>
      </c>
      <c r="F408" s="25" t="s">
        <v>1172</v>
      </c>
      <c r="G408" s="26"/>
      <c r="H408" s="26"/>
      <c r="I408" s="26" t="e">
        <f t="shared" si="10"/>
        <v>#DIV/0!</v>
      </c>
      <c r="J408"/>
    </row>
    <row r="409" spans="1:10" ht="14.25" customHeight="1" hidden="1">
      <c r="A409" s="35" t="s">
        <v>1173</v>
      </c>
      <c r="B409" s="23"/>
      <c r="C409" s="24" t="s">
        <v>1174</v>
      </c>
      <c r="D409" s="24"/>
      <c r="E409" s="24"/>
      <c r="F409" s="28"/>
      <c r="G409" s="26">
        <f>SUM(G413+G410)</f>
        <v>0</v>
      </c>
      <c r="H409" s="26">
        <f>SUM(H413+H410)</f>
        <v>0</v>
      </c>
      <c r="I409" s="26" t="e">
        <f t="shared" si="10"/>
        <v>#DIV/0!</v>
      </c>
      <c r="J409"/>
    </row>
    <row r="410" spans="1:10" ht="15" customHeight="1" hidden="1">
      <c r="A410" s="35" t="s">
        <v>1175</v>
      </c>
      <c r="B410" s="23"/>
      <c r="C410" s="24" t="s">
        <v>1174</v>
      </c>
      <c r="D410" s="24" t="s">
        <v>1176</v>
      </c>
      <c r="E410" s="24"/>
      <c r="F410" s="28"/>
      <c r="G410" s="26">
        <f>SUM(G411)</f>
        <v>0</v>
      </c>
      <c r="H410" s="26">
        <f>SUM(H411)</f>
        <v>0</v>
      </c>
      <c r="I410" s="26" t="e">
        <f aca="true" t="shared" si="11" ref="I410:I463">SUM(H410/G410*100)</f>
        <v>#DIV/0!</v>
      </c>
      <c r="J410"/>
    </row>
    <row r="411" spans="1:10" ht="15" customHeight="1" hidden="1">
      <c r="A411" s="35" t="s">
        <v>1177</v>
      </c>
      <c r="B411" s="23"/>
      <c r="C411" s="24" t="s">
        <v>1174</v>
      </c>
      <c r="D411" s="24" t="s">
        <v>1176</v>
      </c>
      <c r="E411" s="24" t="s">
        <v>32</v>
      </c>
      <c r="F411" s="25"/>
      <c r="G411" s="26">
        <f>SUM(G412)</f>
        <v>0</v>
      </c>
      <c r="H411" s="26">
        <f>SUM(H412)</f>
        <v>0</v>
      </c>
      <c r="I411" s="26" t="e">
        <f t="shared" si="11"/>
        <v>#DIV/0!</v>
      </c>
      <c r="J411"/>
    </row>
    <row r="412" spans="1:10" ht="15" customHeight="1" hidden="1">
      <c r="A412" s="35" t="s">
        <v>33</v>
      </c>
      <c r="B412" s="23"/>
      <c r="C412" s="24" t="s">
        <v>1174</v>
      </c>
      <c r="D412" s="24" t="s">
        <v>1176</v>
      </c>
      <c r="E412" s="24" t="s">
        <v>32</v>
      </c>
      <c r="F412" s="25" t="s">
        <v>34</v>
      </c>
      <c r="G412" s="26"/>
      <c r="H412" s="26"/>
      <c r="I412" s="26" t="e">
        <f t="shared" si="11"/>
        <v>#DIV/0!</v>
      </c>
      <c r="J412"/>
    </row>
    <row r="413" spans="1:10" ht="15" customHeight="1" hidden="1">
      <c r="A413" s="262" t="s">
        <v>35</v>
      </c>
      <c r="B413" s="36"/>
      <c r="C413" s="37" t="s">
        <v>1174</v>
      </c>
      <c r="D413" s="37" t="s">
        <v>36</v>
      </c>
      <c r="E413" s="37"/>
      <c r="F413" s="28"/>
      <c r="G413" s="26">
        <f>SUM(G414+G416)</f>
        <v>0</v>
      </c>
      <c r="H413" s="26">
        <f>SUM(H414+H416)</f>
        <v>0</v>
      </c>
      <c r="I413" s="26" t="e">
        <f t="shared" si="11"/>
        <v>#DIV/0!</v>
      </c>
      <c r="J413"/>
    </row>
    <row r="414" spans="1:10" ht="28.5" customHeight="1" hidden="1">
      <c r="A414" s="35" t="s">
        <v>37</v>
      </c>
      <c r="B414" s="23"/>
      <c r="C414" s="24" t="s">
        <v>1174</v>
      </c>
      <c r="D414" s="24" t="s">
        <v>36</v>
      </c>
      <c r="E414" s="24" t="s">
        <v>38</v>
      </c>
      <c r="F414" s="28"/>
      <c r="G414" s="26">
        <f>SUM(G415)</f>
        <v>0</v>
      </c>
      <c r="H414" s="26">
        <f>SUM(H415)</f>
        <v>0</v>
      </c>
      <c r="I414" s="26" t="e">
        <f t="shared" si="11"/>
        <v>#DIV/0!</v>
      </c>
      <c r="J414"/>
    </row>
    <row r="415" spans="1:10" ht="15" customHeight="1" hidden="1">
      <c r="A415" s="35" t="s">
        <v>1068</v>
      </c>
      <c r="B415" s="23"/>
      <c r="C415" s="24" t="s">
        <v>1174</v>
      </c>
      <c r="D415" s="24" t="s">
        <v>36</v>
      </c>
      <c r="E415" s="24" t="s">
        <v>38</v>
      </c>
      <c r="F415" s="28" t="s">
        <v>1069</v>
      </c>
      <c r="G415" s="26"/>
      <c r="H415" s="26"/>
      <c r="I415" s="26" t="e">
        <f t="shared" si="11"/>
        <v>#DIV/0!</v>
      </c>
      <c r="J415"/>
    </row>
    <row r="416" spans="1:10" ht="15" customHeight="1" hidden="1">
      <c r="A416" s="262" t="s">
        <v>1070</v>
      </c>
      <c r="B416" s="36"/>
      <c r="C416" s="37" t="s">
        <v>1174</v>
      </c>
      <c r="D416" s="37" t="s">
        <v>36</v>
      </c>
      <c r="E416" s="37" t="s">
        <v>1071</v>
      </c>
      <c r="F416" s="28"/>
      <c r="G416" s="26">
        <f>SUM(G417)</f>
        <v>0</v>
      </c>
      <c r="H416" s="26">
        <f>SUM(H417)</f>
        <v>0</v>
      </c>
      <c r="I416" s="26" t="e">
        <f t="shared" si="11"/>
        <v>#DIV/0!</v>
      </c>
      <c r="J416"/>
    </row>
    <row r="417" spans="1:10" ht="15" customHeight="1" hidden="1">
      <c r="A417" s="262" t="s">
        <v>1072</v>
      </c>
      <c r="B417" s="36"/>
      <c r="C417" s="37" t="s">
        <v>1174</v>
      </c>
      <c r="D417" s="37" t="s">
        <v>36</v>
      </c>
      <c r="E417" s="37" t="s">
        <v>1071</v>
      </c>
      <c r="F417" s="28" t="s">
        <v>1073</v>
      </c>
      <c r="G417" s="26"/>
      <c r="H417" s="26"/>
      <c r="I417" s="26" t="e">
        <f t="shared" si="11"/>
        <v>#DIV/0!</v>
      </c>
      <c r="J417"/>
    </row>
    <row r="418" spans="1:10" ht="15" customHeight="1" hidden="1">
      <c r="A418" s="99" t="s">
        <v>1162</v>
      </c>
      <c r="B418" s="32"/>
      <c r="C418" s="33" t="s">
        <v>1163</v>
      </c>
      <c r="D418" s="24"/>
      <c r="E418" s="24"/>
      <c r="F418" s="25"/>
      <c r="G418" s="26">
        <f aca="true" t="shared" si="12" ref="G418:H420">SUM(G419)</f>
        <v>0</v>
      </c>
      <c r="H418" s="26">
        <f t="shared" si="12"/>
        <v>0</v>
      </c>
      <c r="I418" s="26" t="e">
        <f t="shared" si="11"/>
        <v>#DIV/0!</v>
      </c>
      <c r="J418"/>
    </row>
    <row r="419" spans="1:10" ht="15" customHeight="1" hidden="1">
      <c r="A419" s="27" t="s">
        <v>1164</v>
      </c>
      <c r="B419" s="30"/>
      <c r="C419" s="24" t="s">
        <v>1163</v>
      </c>
      <c r="D419" s="24" t="s">
        <v>1163</v>
      </c>
      <c r="E419" s="24"/>
      <c r="F419" s="25"/>
      <c r="G419" s="26">
        <f t="shared" si="12"/>
        <v>0</v>
      </c>
      <c r="H419" s="26">
        <f t="shared" si="12"/>
        <v>0</v>
      </c>
      <c r="I419" s="26" t="e">
        <f t="shared" si="11"/>
        <v>#DIV/0!</v>
      </c>
      <c r="J419"/>
    </row>
    <row r="420" spans="1:10" ht="28.5" customHeight="1" hidden="1">
      <c r="A420" s="27" t="s">
        <v>1165</v>
      </c>
      <c r="B420" s="30"/>
      <c r="C420" s="24" t="s">
        <v>1163</v>
      </c>
      <c r="D420" s="24" t="s">
        <v>1163</v>
      </c>
      <c r="E420" s="24" t="s">
        <v>1166</v>
      </c>
      <c r="F420" s="25"/>
      <c r="G420" s="26">
        <f t="shared" si="12"/>
        <v>0</v>
      </c>
      <c r="H420" s="26">
        <f t="shared" si="12"/>
        <v>0</v>
      </c>
      <c r="I420" s="26" t="e">
        <f t="shared" si="11"/>
        <v>#DIV/0!</v>
      </c>
      <c r="J420"/>
    </row>
    <row r="421" spans="1:10" ht="15" customHeight="1" hidden="1">
      <c r="A421" s="27" t="s">
        <v>1167</v>
      </c>
      <c r="B421" s="30"/>
      <c r="C421" s="24" t="s">
        <v>1163</v>
      </c>
      <c r="D421" s="24" t="s">
        <v>1163</v>
      </c>
      <c r="E421" s="24" t="s">
        <v>1166</v>
      </c>
      <c r="F421" s="25" t="s">
        <v>1168</v>
      </c>
      <c r="G421" s="26"/>
      <c r="H421" s="26"/>
      <c r="I421" s="26" t="e">
        <f t="shared" si="11"/>
        <v>#DIV/0!</v>
      </c>
      <c r="J421"/>
    </row>
    <row r="422" spans="1:10" ht="15" customHeight="1" hidden="1">
      <c r="A422" s="35" t="s">
        <v>1173</v>
      </c>
      <c r="B422" s="23"/>
      <c r="C422" s="24" t="s">
        <v>1174</v>
      </c>
      <c r="D422" s="24"/>
      <c r="E422" s="24"/>
      <c r="F422" s="25"/>
      <c r="G422" s="26">
        <f aca="true" t="shared" si="13" ref="G422:H424">SUM(G423)</f>
        <v>0</v>
      </c>
      <c r="H422" s="26">
        <f t="shared" si="13"/>
        <v>0</v>
      </c>
      <c r="I422" s="26" t="e">
        <f t="shared" si="11"/>
        <v>#DIV/0!</v>
      </c>
      <c r="J422"/>
    </row>
    <row r="423" spans="1:10" ht="15" customHeight="1" hidden="1">
      <c r="A423" s="35" t="s">
        <v>543</v>
      </c>
      <c r="B423" s="23"/>
      <c r="C423" s="24" t="s">
        <v>1174</v>
      </c>
      <c r="D423" s="37" t="s">
        <v>1140</v>
      </c>
      <c r="E423" s="94"/>
      <c r="F423" s="95"/>
      <c r="G423" s="26">
        <f t="shared" si="13"/>
        <v>0</v>
      </c>
      <c r="H423" s="26">
        <f t="shared" si="13"/>
        <v>0</v>
      </c>
      <c r="I423" s="26" t="e">
        <f t="shared" si="11"/>
        <v>#DIV/0!</v>
      </c>
      <c r="J423"/>
    </row>
    <row r="424" spans="1:10" ht="15" customHeight="1" hidden="1">
      <c r="A424" s="35" t="s">
        <v>544</v>
      </c>
      <c r="B424" s="23"/>
      <c r="C424" s="24" t="s">
        <v>1174</v>
      </c>
      <c r="D424" s="37" t="s">
        <v>1140</v>
      </c>
      <c r="E424" s="46" t="s">
        <v>545</v>
      </c>
      <c r="F424" s="95"/>
      <c r="G424" s="26">
        <f t="shared" si="13"/>
        <v>0</v>
      </c>
      <c r="H424" s="26">
        <f t="shared" si="13"/>
        <v>0</v>
      </c>
      <c r="I424" s="26" t="e">
        <f t="shared" si="11"/>
        <v>#DIV/0!</v>
      </c>
      <c r="J424"/>
    </row>
    <row r="425" spans="1:10" ht="15" customHeight="1" hidden="1">
      <c r="A425" s="35" t="s">
        <v>546</v>
      </c>
      <c r="B425" s="23"/>
      <c r="C425" s="24" t="s">
        <v>1174</v>
      </c>
      <c r="D425" s="37" t="s">
        <v>1140</v>
      </c>
      <c r="E425" s="46" t="s">
        <v>545</v>
      </c>
      <c r="F425" s="95">
        <v>273</v>
      </c>
      <c r="G425" s="26"/>
      <c r="H425" s="26"/>
      <c r="I425" s="26" t="e">
        <f t="shared" si="11"/>
        <v>#DIV/0!</v>
      </c>
      <c r="J425"/>
    </row>
    <row r="426" spans="1:12" s="22" customFormat="1" ht="15.75">
      <c r="A426" s="263" t="s">
        <v>1162</v>
      </c>
      <c r="B426" s="42"/>
      <c r="C426" s="43" t="s">
        <v>1163</v>
      </c>
      <c r="D426" s="43"/>
      <c r="E426" s="43"/>
      <c r="F426" s="44"/>
      <c r="G426" s="45">
        <f>SUM(G427+G457+G541+G568)</f>
        <v>1237618.1</v>
      </c>
      <c r="H426" s="45">
        <f>SUM(H427+H457+H541+H568)</f>
        <v>657983.7000000001</v>
      </c>
      <c r="I426" s="45">
        <f t="shared" si="11"/>
        <v>53.16532620200044</v>
      </c>
      <c r="L426" s="22">
        <f>SUM('[1]ведомствен.2012'!G505+'[1]ведомствен.2012'!G664+'[1]ведомствен.2012'!G955+'[1]ведомствен.2012'!G1031+'[1]ведомствен.2012'!G1211)</f>
        <v>1237618.0999999999</v>
      </c>
    </row>
    <row r="427" spans="1:13" s="97" customFormat="1" ht="15.75">
      <c r="A427" s="27" t="s">
        <v>547</v>
      </c>
      <c r="B427" s="96"/>
      <c r="C427" s="37" t="s">
        <v>1163</v>
      </c>
      <c r="D427" s="37" t="s">
        <v>1140</v>
      </c>
      <c r="E427" s="37"/>
      <c r="F427" s="28"/>
      <c r="G427" s="26">
        <f>SUM(G428+G451)+G446</f>
        <v>461331.8</v>
      </c>
      <c r="H427" s="26">
        <f>SUM(H428+H446)</f>
        <v>222557.3</v>
      </c>
      <c r="I427" s="26">
        <f t="shared" si="11"/>
        <v>48.24234964942802</v>
      </c>
      <c r="K427" s="97">
        <f>SUM(J427:J618)</f>
        <v>1237618.1000000003</v>
      </c>
      <c r="M427" s="97" t="e">
        <f>SUM(#REF!+#REF!+#REF!+#REF!+#REF!)</f>
        <v>#REF!</v>
      </c>
    </row>
    <row r="428" spans="1:11" s="97" customFormat="1" ht="15.75">
      <c r="A428" s="27" t="s">
        <v>548</v>
      </c>
      <c r="B428" s="96"/>
      <c r="C428" s="37" t="s">
        <v>1163</v>
      </c>
      <c r="D428" s="37" t="s">
        <v>1140</v>
      </c>
      <c r="E428" s="37" t="s">
        <v>549</v>
      </c>
      <c r="F428" s="28"/>
      <c r="G428" s="26">
        <f>SUM(G429+G434)</f>
        <v>436480.2</v>
      </c>
      <c r="H428" s="26">
        <f>SUM(H435)</f>
        <v>213007.5</v>
      </c>
      <c r="I428" s="26">
        <f t="shared" si="11"/>
        <v>48.801182734062166</v>
      </c>
      <c r="K428" s="97">
        <f>SUM('[1]ведомствен.2012'!G665+'[1]ведомствен.2012'!G1032+'[1]ведомствен.2012'!G510)</f>
        <v>447131.8</v>
      </c>
    </row>
    <row r="429" spans="1:12" s="97" customFormat="1" ht="28.5">
      <c r="A429" s="286" t="s">
        <v>1016</v>
      </c>
      <c r="B429" s="96"/>
      <c r="C429" s="37" t="s">
        <v>1163</v>
      </c>
      <c r="D429" s="37" t="s">
        <v>1140</v>
      </c>
      <c r="E429" s="37" t="s">
        <v>778</v>
      </c>
      <c r="F429" s="28"/>
      <c r="G429" s="26">
        <f>SUM(G430)+G432</f>
        <v>384806</v>
      </c>
      <c r="H429" s="26"/>
      <c r="I429" s="26"/>
      <c r="L429" s="97">
        <f>SUM(K427-L426)</f>
        <v>4.656612873077393E-10</v>
      </c>
    </row>
    <row r="430" spans="1:9" s="97" customFormat="1" ht="28.5">
      <c r="A430" s="286" t="s">
        <v>754</v>
      </c>
      <c r="B430" s="96"/>
      <c r="C430" s="37" t="s">
        <v>1163</v>
      </c>
      <c r="D430" s="37" t="s">
        <v>1140</v>
      </c>
      <c r="E430" s="37" t="s">
        <v>779</v>
      </c>
      <c r="F430" s="28"/>
      <c r="G430" s="26">
        <f>SUM(G431)</f>
        <v>382960</v>
      </c>
      <c r="H430" s="26"/>
      <c r="I430" s="26"/>
    </row>
    <row r="431" spans="1:10" s="97" customFormat="1" ht="42.75">
      <c r="A431" s="289" t="s">
        <v>315</v>
      </c>
      <c r="B431" s="56"/>
      <c r="C431" s="37" t="s">
        <v>1163</v>
      </c>
      <c r="D431" s="37" t="s">
        <v>1140</v>
      </c>
      <c r="E431" s="37" t="s">
        <v>779</v>
      </c>
      <c r="F431" s="29" t="s">
        <v>496</v>
      </c>
      <c r="G431" s="26">
        <v>382960</v>
      </c>
      <c r="H431" s="26"/>
      <c r="I431" s="26"/>
      <c r="J431" s="97">
        <f>SUM('[1]ведомствен.2012'!G1036)</f>
        <v>382960</v>
      </c>
    </row>
    <row r="432" spans="1:9" s="97" customFormat="1" ht="28.5">
      <c r="A432" s="289" t="s">
        <v>559</v>
      </c>
      <c r="B432" s="23"/>
      <c r="C432" s="57" t="s">
        <v>1163</v>
      </c>
      <c r="D432" s="57" t="s">
        <v>1140</v>
      </c>
      <c r="E432" s="57" t="s">
        <v>781</v>
      </c>
      <c r="F432" s="28"/>
      <c r="G432" s="26">
        <f>SUM(G433)</f>
        <v>1846</v>
      </c>
      <c r="H432" s="26"/>
      <c r="I432" s="26"/>
    </row>
    <row r="433" spans="1:10" s="97" customFormat="1" ht="29.25">
      <c r="A433" s="262" t="s">
        <v>316</v>
      </c>
      <c r="B433" s="56"/>
      <c r="C433" s="37" t="s">
        <v>1163</v>
      </c>
      <c r="D433" s="37" t="s">
        <v>1140</v>
      </c>
      <c r="E433" s="57" t="s">
        <v>781</v>
      </c>
      <c r="F433" s="29" t="s">
        <v>772</v>
      </c>
      <c r="G433" s="26">
        <v>1846</v>
      </c>
      <c r="H433" s="26"/>
      <c r="I433" s="26"/>
      <c r="J433" s="97">
        <f>SUM('[1]ведомствен.2012'!G1038)</f>
        <v>1846</v>
      </c>
    </row>
    <row r="434" spans="1:9" s="97" customFormat="1" ht="28.5">
      <c r="A434" s="286" t="s">
        <v>493</v>
      </c>
      <c r="B434" s="96"/>
      <c r="C434" s="37" t="s">
        <v>1163</v>
      </c>
      <c r="D434" s="37" t="s">
        <v>1140</v>
      </c>
      <c r="E434" s="37" t="s">
        <v>550</v>
      </c>
      <c r="F434" s="28"/>
      <c r="G434" s="26">
        <f>SUM(G437+G435)</f>
        <v>51674.2</v>
      </c>
      <c r="H434" s="26"/>
      <c r="I434" s="26"/>
    </row>
    <row r="435" spans="1:10" s="97" customFormat="1" ht="18.75" customHeight="1">
      <c r="A435" s="289" t="s">
        <v>494</v>
      </c>
      <c r="B435" s="56"/>
      <c r="C435" s="57" t="s">
        <v>1163</v>
      </c>
      <c r="D435" s="57" t="s">
        <v>1140</v>
      </c>
      <c r="E435" s="57" t="s">
        <v>550</v>
      </c>
      <c r="F435" s="29" t="s">
        <v>142</v>
      </c>
      <c r="G435" s="26">
        <v>51510</v>
      </c>
      <c r="H435" s="26">
        <f>SUM(H436+H440+H442+H444+H438)</f>
        <v>213007.5</v>
      </c>
      <c r="I435" s="26">
        <f t="shared" si="11"/>
        <v>413.5264997087944</v>
      </c>
      <c r="J435" s="97">
        <f>SUM('[1]ведомствен.2012'!G1040)+'[1]ведомствен.2012'!G668</f>
        <v>51510</v>
      </c>
    </row>
    <row r="436" spans="1:13" s="97" customFormat="1" ht="35.25" customHeight="1">
      <c r="A436" s="289" t="s">
        <v>559</v>
      </c>
      <c r="B436" s="23"/>
      <c r="C436" s="57" t="s">
        <v>1163</v>
      </c>
      <c r="D436" s="57" t="s">
        <v>1140</v>
      </c>
      <c r="E436" s="57" t="s">
        <v>560</v>
      </c>
      <c r="F436" s="28"/>
      <c r="G436" s="26">
        <f>SUM(G437)</f>
        <v>164.2</v>
      </c>
      <c r="H436" s="26">
        <v>187516.5</v>
      </c>
      <c r="I436" s="26">
        <f t="shared" si="11"/>
        <v>114200.06090133984</v>
      </c>
      <c r="J436" s="183"/>
      <c r="M436" s="183" t="e">
        <f>SUM(#REF!)</f>
        <v>#REF!</v>
      </c>
    </row>
    <row r="437" spans="1:10" s="97" customFormat="1" ht="15.75" customHeight="1">
      <c r="A437" s="289" t="s">
        <v>494</v>
      </c>
      <c r="B437" s="56"/>
      <c r="C437" s="57" t="s">
        <v>1163</v>
      </c>
      <c r="D437" s="57" t="s">
        <v>1140</v>
      </c>
      <c r="E437" s="57" t="s">
        <v>560</v>
      </c>
      <c r="F437" s="29" t="s">
        <v>142</v>
      </c>
      <c r="G437" s="26">
        <v>164.2</v>
      </c>
      <c r="H437" s="26"/>
      <c r="I437" s="26">
        <f t="shared" si="11"/>
        <v>0</v>
      </c>
      <c r="J437" s="97">
        <f>SUM('[1]ведомствен.2012'!G1042)</f>
        <v>164.2</v>
      </c>
    </row>
    <row r="438" spans="1:10" ht="19.5" customHeight="1" hidden="1">
      <c r="A438" s="41" t="s">
        <v>553</v>
      </c>
      <c r="B438" s="56"/>
      <c r="C438" s="57" t="s">
        <v>1163</v>
      </c>
      <c r="D438" s="57" t="s">
        <v>1140</v>
      </c>
      <c r="E438" s="57" t="s">
        <v>554</v>
      </c>
      <c r="F438" s="29"/>
      <c r="G438" s="26">
        <f>SUM(G439)</f>
        <v>0</v>
      </c>
      <c r="H438" s="26">
        <f>SUM(H439)</f>
        <v>120.3</v>
      </c>
      <c r="I438" s="26" t="e">
        <f t="shared" si="11"/>
        <v>#DIV/0!</v>
      </c>
      <c r="J438"/>
    </row>
    <row r="439" spans="1:10" ht="17.25" customHeight="1" hidden="1">
      <c r="A439" s="41" t="s">
        <v>555</v>
      </c>
      <c r="B439" s="56"/>
      <c r="C439" s="57" t="s">
        <v>1163</v>
      </c>
      <c r="D439" s="57" t="s">
        <v>1140</v>
      </c>
      <c r="E439" s="57" t="s">
        <v>554</v>
      </c>
      <c r="F439" s="29" t="s">
        <v>556</v>
      </c>
      <c r="G439" s="26"/>
      <c r="H439" s="26">
        <v>120.3</v>
      </c>
      <c r="I439" s="26" t="e">
        <f t="shared" si="11"/>
        <v>#DIV/0!</v>
      </c>
      <c r="J439"/>
    </row>
    <row r="440" spans="1:9" s="97" customFormat="1" ht="32.25" customHeight="1" hidden="1">
      <c r="A440" s="41" t="s">
        <v>557</v>
      </c>
      <c r="B440" s="23"/>
      <c r="C440" s="57" t="s">
        <v>1163</v>
      </c>
      <c r="D440" s="57" t="s">
        <v>1140</v>
      </c>
      <c r="E440" s="57" t="s">
        <v>558</v>
      </c>
      <c r="F440" s="28"/>
      <c r="G440" s="26">
        <f>SUM(G441)</f>
        <v>0</v>
      </c>
      <c r="H440" s="26">
        <f>SUM(H441)</f>
        <v>24134</v>
      </c>
      <c r="I440" s="26" t="e">
        <f t="shared" si="11"/>
        <v>#DIV/0!</v>
      </c>
    </row>
    <row r="441" spans="1:13" s="97" customFormat="1" ht="17.25" customHeight="1" hidden="1">
      <c r="A441" s="41" t="s">
        <v>141</v>
      </c>
      <c r="B441" s="56"/>
      <c r="C441" s="57" t="s">
        <v>1163</v>
      </c>
      <c r="D441" s="57" t="s">
        <v>1140</v>
      </c>
      <c r="E441" s="57" t="s">
        <v>558</v>
      </c>
      <c r="F441" s="29" t="s">
        <v>142</v>
      </c>
      <c r="G441" s="26"/>
      <c r="H441" s="26">
        <v>24134</v>
      </c>
      <c r="I441" s="26" t="e">
        <f t="shared" si="11"/>
        <v>#DIV/0!</v>
      </c>
      <c r="J441" s="183"/>
      <c r="M441" s="183" t="e">
        <f>SUM(#REF!)</f>
        <v>#REF!</v>
      </c>
    </row>
    <row r="442" spans="1:13" s="97" customFormat="1" ht="33" customHeight="1" hidden="1">
      <c r="A442" s="41" t="s">
        <v>559</v>
      </c>
      <c r="B442" s="56"/>
      <c r="C442" s="57" t="s">
        <v>1163</v>
      </c>
      <c r="D442" s="57" t="s">
        <v>1140</v>
      </c>
      <c r="E442" s="57" t="s">
        <v>560</v>
      </c>
      <c r="F442" s="29"/>
      <c r="G442" s="26">
        <f>SUM(G443)</f>
        <v>0</v>
      </c>
      <c r="H442" s="26">
        <f>SUM(H443)</f>
        <v>1236.7</v>
      </c>
      <c r="I442" s="26" t="e">
        <f t="shared" si="11"/>
        <v>#DIV/0!</v>
      </c>
      <c r="J442" s="183"/>
      <c r="M442" s="183"/>
    </row>
    <row r="443" spans="1:13" s="97" customFormat="1" ht="15.75" customHeight="1" hidden="1">
      <c r="A443" s="41" t="s">
        <v>141</v>
      </c>
      <c r="B443" s="56"/>
      <c r="C443" s="57" t="s">
        <v>1163</v>
      </c>
      <c r="D443" s="57" t="s">
        <v>1140</v>
      </c>
      <c r="E443" s="57" t="s">
        <v>560</v>
      </c>
      <c r="F443" s="29" t="s">
        <v>142</v>
      </c>
      <c r="G443" s="26"/>
      <c r="H443" s="26">
        <v>1236.7</v>
      </c>
      <c r="I443" s="26" t="e">
        <f t="shared" si="11"/>
        <v>#DIV/0!</v>
      </c>
      <c r="J443" s="183"/>
      <c r="M443" s="183" t="e">
        <f>SUM(#REF!)</f>
        <v>#REF!</v>
      </c>
    </row>
    <row r="444" spans="1:13" s="97" customFormat="1" ht="26.25" customHeight="1" hidden="1">
      <c r="A444" s="27" t="s">
        <v>561</v>
      </c>
      <c r="B444" s="30"/>
      <c r="C444" s="57" t="s">
        <v>1163</v>
      </c>
      <c r="D444" s="57" t="s">
        <v>1140</v>
      </c>
      <c r="E444" s="57" t="s">
        <v>562</v>
      </c>
      <c r="F444" s="29"/>
      <c r="G444" s="26">
        <f>SUM(G445)</f>
        <v>0</v>
      </c>
      <c r="H444" s="26">
        <f>SUM(H445)</f>
        <v>0</v>
      </c>
      <c r="I444" s="26" t="e">
        <f t="shared" si="11"/>
        <v>#DIV/0!</v>
      </c>
      <c r="J444" s="183"/>
      <c r="M444" s="183"/>
    </row>
    <row r="445" spans="1:13" s="97" customFormat="1" ht="21" customHeight="1" hidden="1">
      <c r="A445" s="41" t="s">
        <v>141</v>
      </c>
      <c r="B445" s="30"/>
      <c r="C445" s="57" t="s">
        <v>1163</v>
      </c>
      <c r="D445" s="57" t="s">
        <v>1140</v>
      </c>
      <c r="E445" s="57" t="s">
        <v>562</v>
      </c>
      <c r="F445" s="29" t="s">
        <v>142</v>
      </c>
      <c r="G445" s="26"/>
      <c r="H445" s="26"/>
      <c r="I445" s="26" t="e">
        <f t="shared" si="11"/>
        <v>#DIV/0!</v>
      </c>
      <c r="J445" s="183"/>
      <c r="M445" s="183" t="e">
        <f>SUM(#REF!)</f>
        <v>#REF!</v>
      </c>
    </row>
    <row r="446" spans="1:9" s="97" customFormat="1" ht="15.75" customHeight="1">
      <c r="A446" s="27" t="s">
        <v>990</v>
      </c>
      <c r="B446" s="56"/>
      <c r="C446" s="57" t="s">
        <v>1163</v>
      </c>
      <c r="D446" s="57" t="s">
        <v>1140</v>
      </c>
      <c r="E446" s="37" t="s">
        <v>991</v>
      </c>
      <c r="F446" s="29"/>
      <c r="G446" s="26">
        <f>SUM(G447)</f>
        <v>14248.1</v>
      </c>
      <c r="H446" s="26">
        <f>SUM(H447)</f>
        <v>9549.8</v>
      </c>
      <c r="I446" s="26">
        <f t="shared" si="11"/>
        <v>67.02507702781423</v>
      </c>
    </row>
    <row r="447" spans="1:9" s="97" customFormat="1" ht="45" customHeight="1">
      <c r="A447" s="286" t="s">
        <v>220</v>
      </c>
      <c r="B447" s="56"/>
      <c r="C447" s="57" t="s">
        <v>1163</v>
      </c>
      <c r="D447" s="57" t="s">
        <v>1140</v>
      </c>
      <c r="E447" s="37" t="s">
        <v>564</v>
      </c>
      <c r="F447" s="29"/>
      <c r="G447" s="26">
        <f>SUM(G450+G448)+G449</f>
        <v>14248.1</v>
      </c>
      <c r="H447" s="26">
        <f>SUM(H448)</f>
        <v>9549.8</v>
      </c>
      <c r="I447" s="26">
        <f t="shared" si="11"/>
        <v>67.02507702781423</v>
      </c>
    </row>
    <row r="448" spans="1:10" ht="18.75" customHeight="1">
      <c r="A448" s="289" t="s">
        <v>141</v>
      </c>
      <c r="B448" s="56"/>
      <c r="C448" s="57" t="s">
        <v>1163</v>
      </c>
      <c r="D448" s="57" t="s">
        <v>1140</v>
      </c>
      <c r="E448" s="37" t="s">
        <v>564</v>
      </c>
      <c r="F448" s="29" t="s">
        <v>142</v>
      </c>
      <c r="G448" s="26">
        <v>0.5</v>
      </c>
      <c r="H448" s="26">
        <v>9549.8</v>
      </c>
      <c r="I448" s="26">
        <f aca="true" t="shared" si="14" ref="I448:I454">SUM(H448/G448*100)</f>
        <v>1909959.9999999998</v>
      </c>
      <c r="J448">
        <f>SUM('[1]ведомствен.2012'!G1059)</f>
        <v>0.5</v>
      </c>
    </row>
    <row r="449" spans="1:10" ht="18.75" customHeight="1">
      <c r="A449" s="294" t="s">
        <v>198</v>
      </c>
      <c r="B449" s="56"/>
      <c r="C449" s="57" t="s">
        <v>1163</v>
      </c>
      <c r="D449" s="57" t="s">
        <v>1140</v>
      </c>
      <c r="E449" s="37" t="s">
        <v>564</v>
      </c>
      <c r="F449" s="29" t="s">
        <v>199</v>
      </c>
      <c r="G449" s="26">
        <v>14200</v>
      </c>
      <c r="H449" s="26">
        <v>9549.8</v>
      </c>
      <c r="I449" s="26">
        <f t="shared" si="14"/>
        <v>67.25211267605633</v>
      </c>
      <c r="J449">
        <f>SUM('[1]ведомствен.2012'!G509)</f>
        <v>14200</v>
      </c>
    </row>
    <row r="450" spans="1:10" ht="31.5" customHeight="1">
      <c r="A450" s="262" t="s">
        <v>316</v>
      </c>
      <c r="B450" s="56"/>
      <c r="C450" s="37" t="s">
        <v>1163</v>
      </c>
      <c r="D450" s="37" t="s">
        <v>1140</v>
      </c>
      <c r="E450" s="37" t="s">
        <v>564</v>
      </c>
      <c r="F450" s="29" t="s">
        <v>772</v>
      </c>
      <c r="G450" s="26">
        <v>47.6</v>
      </c>
      <c r="H450" s="26">
        <v>56722</v>
      </c>
      <c r="I450" s="26">
        <f t="shared" si="14"/>
        <v>119163.8655462185</v>
      </c>
      <c r="J450">
        <f>SUM('[1]ведомствен.2012'!G1060)</f>
        <v>47.6</v>
      </c>
    </row>
    <row r="451" spans="1:10" ht="15.75">
      <c r="A451" s="27" t="s">
        <v>1186</v>
      </c>
      <c r="B451" s="96"/>
      <c r="C451" s="33" t="s">
        <v>1163</v>
      </c>
      <c r="D451" s="33" t="s">
        <v>1140</v>
      </c>
      <c r="E451" s="33" t="s">
        <v>1187</v>
      </c>
      <c r="F451" s="103"/>
      <c r="G451" s="26">
        <f>SUM(G452)</f>
        <v>10603.5</v>
      </c>
      <c r="H451" s="26">
        <f>SUM(H452)</f>
        <v>0</v>
      </c>
      <c r="I451" s="26">
        <f t="shared" si="14"/>
        <v>0</v>
      </c>
      <c r="J451"/>
    </row>
    <row r="452" spans="1:10" ht="43.5">
      <c r="A452" s="27" t="s">
        <v>497</v>
      </c>
      <c r="B452" s="96"/>
      <c r="C452" s="33" t="s">
        <v>1163</v>
      </c>
      <c r="D452" s="33" t="s">
        <v>1140</v>
      </c>
      <c r="E452" s="33" t="s">
        <v>498</v>
      </c>
      <c r="F452" s="103"/>
      <c r="G452" s="26">
        <f>SUM(G454,G455,G456)+G453</f>
        <v>10603.5</v>
      </c>
      <c r="H452" s="26">
        <f>SUM(H454)</f>
        <v>0</v>
      </c>
      <c r="I452" s="26">
        <f t="shared" si="14"/>
        <v>0</v>
      </c>
      <c r="J452" s="39"/>
    </row>
    <row r="453" spans="1:10" ht="18.75" customHeight="1">
      <c r="A453" s="294" t="s">
        <v>198</v>
      </c>
      <c r="B453" s="56"/>
      <c r="C453" s="57" t="s">
        <v>1163</v>
      </c>
      <c r="D453" s="57" t="s">
        <v>1140</v>
      </c>
      <c r="E453" s="33" t="s">
        <v>498</v>
      </c>
      <c r="F453" s="29" t="s">
        <v>199</v>
      </c>
      <c r="G453" s="26">
        <v>3000</v>
      </c>
      <c r="H453" s="26">
        <v>9549.8</v>
      </c>
      <c r="I453" s="26">
        <f t="shared" si="14"/>
        <v>318.32666666666665</v>
      </c>
      <c r="J453">
        <f>SUM('[1]ведомствен.2012'!G512)</f>
        <v>3000</v>
      </c>
    </row>
    <row r="454" spans="1:13" s="39" customFormat="1" ht="15.75">
      <c r="A454" s="262" t="s">
        <v>74</v>
      </c>
      <c r="B454" s="160"/>
      <c r="C454" s="33" t="s">
        <v>1163</v>
      </c>
      <c r="D454" s="33" t="s">
        <v>1140</v>
      </c>
      <c r="E454" s="33" t="s">
        <v>498</v>
      </c>
      <c r="F454" s="103" t="s">
        <v>75</v>
      </c>
      <c r="G454" s="26">
        <v>1173.6</v>
      </c>
      <c r="H454" s="26"/>
      <c r="I454" s="26">
        <f t="shared" si="14"/>
        <v>0</v>
      </c>
      <c r="J454" s="39">
        <f>SUM('[1]ведомствен.2012'!G1063)</f>
        <v>1173.6</v>
      </c>
      <c r="M454" s="39" t="e">
        <f>SUM(#REF!)</f>
        <v>#REF!</v>
      </c>
    </row>
    <row r="455" spans="1:10" ht="42.75">
      <c r="A455" s="286" t="s">
        <v>1017</v>
      </c>
      <c r="B455" s="56"/>
      <c r="C455" s="166" t="s">
        <v>1163</v>
      </c>
      <c r="D455" s="166" t="s">
        <v>1140</v>
      </c>
      <c r="E455" s="33" t="s">
        <v>498</v>
      </c>
      <c r="F455" s="167" t="s">
        <v>496</v>
      </c>
      <c r="G455" s="26">
        <v>5173.4</v>
      </c>
      <c r="H455" s="26"/>
      <c r="I455" s="26"/>
      <c r="J455" s="39">
        <f>SUM('[1]ведомствен.2012'!G1064)</f>
        <v>5173.4</v>
      </c>
    </row>
    <row r="456" spans="1:10" ht="28.5">
      <c r="A456" s="286" t="s">
        <v>316</v>
      </c>
      <c r="B456" s="56"/>
      <c r="C456" s="166" t="s">
        <v>1163</v>
      </c>
      <c r="D456" s="166" t="s">
        <v>1140</v>
      </c>
      <c r="E456" s="33" t="s">
        <v>498</v>
      </c>
      <c r="F456" s="167" t="s">
        <v>772</v>
      </c>
      <c r="G456" s="26">
        <v>1256.5</v>
      </c>
      <c r="H456" s="26"/>
      <c r="I456" s="26"/>
      <c r="J456" s="39">
        <f>SUM('[1]ведомствен.2012'!G1065)</f>
        <v>1256.5</v>
      </c>
    </row>
    <row r="457" spans="1:11" s="97" customFormat="1" ht="15.75" customHeight="1">
      <c r="A457" s="27" t="s">
        <v>565</v>
      </c>
      <c r="B457" s="96"/>
      <c r="C457" s="37" t="s">
        <v>1163</v>
      </c>
      <c r="D457" s="37" t="s">
        <v>1142</v>
      </c>
      <c r="E457" s="37"/>
      <c r="F457" s="28"/>
      <c r="G457" s="26">
        <f>SUM(G463+G493+G515+G531)+G537+G508+G527+G524+G458+G539</f>
        <v>719072.2</v>
      </c>
      <c r="H457" s="26">
        <f>SUM(H463+H493+H515+H531)+H537+H508+H527+H524+H458+H539</f>
        <v>365363</v>
      </c>
      <c r="I457" s="26">
        <f t="shared" si="11"/>
        <v>50.810335874478255</v>
      </c>
      <c r="K457" s="97">
        <f>SUM('[1]ведомствен.2012'!G1212+'[1]ведомствен.2012'!G1066+'[1]ведомствен.2012'!G956+'[1]ведомствен.2012'!G669)</f>
        <v>719072.2</v>
      </c>
    </row>
    <row r="458" spans="1:9" s="97" customFormat="1" ht="16.5" customHeight="1" hidden="1">
      <c r="A458" s="27" t="s">
        <v>660</v>
      </c>
      <c r="B458" s="96"/>
      <c r="C458" s="37" t="s">
        <v>1163</v>
      </c>
      <c r="D458" s="37" t="s">
        <v>1142</v>
      </c>
      <c r="E458" s="37" t="s">
        <v>662</v>
      </c>
      <c r="F458" s="28"/>
      <c r="G458" s="26">
        <f>SUM(G459+G461)</f>
        <v>0</v>
      </c>
      <c r="H458" s="26">
        <f>SUM(H459+H461)</f>
        <v>0</v>
      </c>
      <c r="I458" s="26" t="e">
        <f t="shared" si="11"/>
        <v>#DIV/0!</v>
      </c>
    </row>
    <row r="459" spans="1:10" ht="20.25" customHeight="1" hidden="1">
      <c r="A459" s="27" t="s">
        <v>566</v>
      </c>
      <c r="B459" s="96"/>
      <c r="C459" s="37" t="s">
        <v>1163</v>
      </c>
      <c r="D459" s="37" t="s">
        <v>1142</v>
      </c>
      <c r="E459" s="37" t="s">
        <v>567</v>
      </c>
      <c r="F459" s="28"/>
      <c r="G459" s="26">
        <f>SUM(G460)</f>
        <v>0</v>
      </c>
      <c r="H459" s="26">
        <f>SUM(H460)</f>
        <v>0</v>
      </c>
      <c r="I459" s="26" t="e">
        <f t="shared" si="11"/>
        <v>#DIV/0!</v>
      </c>
      <c r="J459"/>
    </row>
    <row r="460" spans="1:10" ht="20.25" customHeight="1" hidden="1">
      <c r="A460" s="41" t="s">
        <v>141</v>
      </c>
      <c r="B460" s="96"/>
      <c r="C460" s="37" t="s">
        <v>1163</v>
      </c>
      <c r="D460" s="37" t="s">
        <v>1142</v>
      </c>
      <c r="E460" s="37" t="s">
        <v>567</v>
      </c>
      <c r="F460" s="28" t="s">
        <v>142</v>
      </c>
      <c r="G460" s="26"/>
      <c r="H460" s="26"/>
      <c r="I460" s="26" t="e">
        <f t="shared" si="11"/>
        <v>#DIV/0!</v>
      </c>
      <c r="J460"/>
    </row>
    <row r="461" spans="1:10" ht="20.25" customHeight="1" hidden="1">
      <c r="A461" s="35" t="s">
        <v>638</v>
      </c>
      <c r="B461" s="23"/>
      <c r="C461" s="37" t="s">
        <v>1163</v>
      </c>
      <c r="D461" s="37" t="s">
        <v>1142</v>
      </c>
      <c r="E461" s="24" t="s">
        <v>639</v>
      </c>
      <c r="F461" s="28"/>
      <c r="G461" s="26">
        <f>SUM(G462)</f>
        <v>0</v>
      </c>
      <c r="H461" s="26">
        <f>SUM(H462)</f>
        <v>0</v>
      </c>
      <c r="I461" s="26" t="e">
        <f t="shared" si="11"/>
        <v>#DIV/0!</v>
      </c>
      <c r="J461"/>
    </row>
    <row r="462" spans="1:10" ht="20.25" customHeight="1" hidden="1">
      <c r="A462" s="41" t="s">
        <v>141</v>
      </c>
      <c r="B462" s="96"/>
      <c r="C462" s="37" t="s">
        <v>1163</v>
      </c>
      <c r="D462" s="37" t="s">
        <v>1142</v>
      </c>
      <c r="E462" s="37" t="s">
        <v>639</v>
      </c>
      <c r="F462" s="28" t="s">
        <v>142</v>
      </c>
      <c r="G462" s="26"/>
      <c r="H462" s="26"/>
      <c r="I462" s="26" t="e">
        <f t="shared" si="11"/>
        <v>#DIV/0!</v>
      </c>
      <c r="J462"/>
    </row>
    <row r="463" spans="1:11" s="97" customFormat="1" ht="28.5" customHeight="1">
      <c r="A463" s="27" t="s">
        <v>568</v>
      </c>
      <c r="B463" s="96"/>
      <c r="C463" s="37" t="s">
        <v>1163</v>
      </c>
      <c r="D463" s="37" t="s">
        <v>1142</v>
      </c>
      <c r="E463" s="37" t="s">
        <v>569</v>
      </c>
      <c r="F463" s="28"/>
      <c r="G463" s="26">
        <f>SUM(G464+G474)</f>
        <v>518215.1</v>
      </c>
      <c r="H463" s="26">
        <f>SUM(H474)</f>
        <v>260775.1</v>
      </c>
      <c r="I463" s="26">
        <f t="shared" si="11"/>
        <v>50.321787226964254</v>
      </c>
      <c r="K463" s="97">
        <f>SUM('[1]ведомствен.2012'!G1072+'[1]ведомствен.2012'!G670)</f>
        <v>518215.1</v>
      </c>
    </row>
    <row r="464" spans="1:9" s="97" customFormat="1" ht="28.5" customHeight="1">
      <c r="A464" s="286" t="s">
        <v>1016</v>
      </c>
      <c r="B464" s="96"/>
      <c r="C464" s="37" t="s">
        <v>1163</v>
      </c>
      <c r="D464" s="37" t="s">
        <v>1142</v>
      </c>
      <c r="E464" s="37" t="s">
        <v>782</v>
      </c>
      <c r="F464" s="28"/>
      <c r="G464" s="26">
        <f>SUM(G465+G467+G469+G471)</f>
        <v>236157.59999999998</v>
      </c>
      <c r="H464" s="26"/>
      <c r="I464" s="26"/>
    </row>
    <row r="465" spans="1:9" s="97" customFormat="1" ht="39.75" customHeight="1">
      <c r="A465" s="286" t="s">
        <v>754</v>
      </c>
      <c r="B465" s="96"/>
      <c r="C465" s="37" t="s">
        <v>1163</v>
      </c>
      <c r="D465" s="37" t="s">
        <v>1142</v>
      </c>
      <c r="E465" s="37" t="s">
        <v>783</v>
      </c>
      <c r="F465" s="28"/>
      <c r="G465" s="26">
        <f>SUM(G466)</f>
        <v>54837.1</v>
      </c>
      <c r="H465" s="26"/>
      <c r="I465" s="26"/>
    </row>
    <row r="466" spans="1:10" s="97" customFormat="1" ht="48" customHeight="1">
      <c r="A466" s="286" t="s">
        <v>1017</v>
      </c>
      <c r="B466" s="56"/>
      <c r="C466" s="37" t="s">
        <v>1163</v>
      </c>
      <c r="D466" s="37" t="s">
        <v>1142</v>
      </c>
      <c r="E466" s="37" t="s">
        <v>783</v>
      </c>
      <c r="F466" s="29" t="s">
        <v>496</v>
      </c>
      <c r="G466" s="26">
        <f>54619.1+218</f>
        <v>54837.1</v>
      </c>
      <c r="H466" s="26"/>
      <c r="I466" s="26"/>
      <c r="J466" s="97">
        <f>SUM('[1]ведомствен.2012'!G1075)</f>
        <v>54837.1</v>
      </c>
    </row>
    <row r="467" spans="1:9" s="97" customFormat="1" ht="67.5" customHeight="1">
      <c r="A467" s="289" t="s">
        <v>509</v>
      </c>
      <c r="B467" s="56"/>
      <c r="C467" s="37" t="s">
        <v>1163</v>
      </c>
      <c r="D467" s="37" t="s">
        <v>1142</v>
      </c>
      <c r="E467" s="37" t="s">
        <v>784</v>
      </c>
      <c r="F467" s="29"/>
      <c r="G467" s="26">
        <f>SUM(G468)</f>
        <v>4384.1</v>
      </c>
      <c r="H467" s="26"/>
      <c r="I467" s="26"/>
    </row>
    <row r="468" spans="1:10" s="97" customFormat="1" ht="48" customHeight="1">
      <c r="A468" s="286" t="s">
        <v>1017</v>
      </c>
      <c r="B468" s="56"/>
      <c r="C468" s="37" t="s">
        <v>1163</v>
      </c>
      <c r="D468" s="37" t="s">
        <v>1142</v>
      </c>
      <c r="E468" s="37" t="s">
        <v>784</v>
      </c>
      <c r="F468" s="29" t="s">
        <v>496</v>
      </c>
      <c r="G468" s="26">
        <v>4384.1</v>
      </c>
      <c r="H468" s="26"/>
      <c r="I468" s="26"/>
      <c r="J468" s="97">
        <f>SUM('[1]ведомствен.2012'!G1077)</f>
        <v>4384.1</v>
      </c>
    </row>
    <row r="469" spans="1:9" s="97" customFormat="1" ht="51.75" customHeight="1">
      <c r="A469" s="289" t="s">
        <v>513</v>
      </c>
      <c r="B469" s="56"/>
      <c r="C469" s="37" t="s">
        <v>1163</v>
      </c>
      <c r="D469" s="37" t="s">
        <v>1142</v>
      </c>
      <c r="E469" s="37" t="s">
        <v>785</v>
      </c>
      <c r="F469" s="29"/>
      <c r="G469" s="26">
        <f>SUM(G470)</f>
        <v>341.5</v>
      </c>
      <c r="H469" s="26"/>
      <c r="I469" s="26"/>
    </row>
    <row r="470" spans="1:10" s="97" customFormat="1" ht="36.75" customHeight="1">
      <c r="A470" s="262" t="s">
        <v>316</v>
      </c>
      <c r="B470" s="56"/>
      <c r="C470" s="37" t="s">
        <v>1163</v>
      </c>
      <c r="D470" s="37" t="s">
        <v>1142</v>
      </c>
      <c r="E470" s="57" t="s">
        <v>785</v>
      </c>
      <c r="F470" s="29" t="s">
        <v>772</v>
      </c>
      <c r="G470" s="26">
        <v>341.5</v>
      </c>
      <c r="H470" s="26"/>
      <c r="I470" s="26"/>
      <c r="J470" s="97">
        <f>SUM('[1]ведомствен.2012'!G1079)</f>
        <v>341.5</v>
      </c>
    </row>
    <row r="471" spans="1:9" s="97" customFormat="1" ht="51" customHeight="1">
      <c r="A471" s="289" t="s">
        <v>803</v>
      </c>
      <c r="B471" s="56"/>
      <c r="C471" s="37" t="s">
        <v>1163</v>
      </c>
      <c r="D471" s="37" t="s">
        <v>1142</v>
      </c>
      <c r="E471" s="37" t="s">
        <v>786</v>
      </c>
      <c r="F471" s="29"/>
      <c r="G471" s="26">
        <f>SUM(G472+G473)</f>
        <v>176594.9</v>
      </c>
      <c r="H471" s="26"/>
      <c r="I471" s="26"/>
    </row>
    <row r="472" spans="1:10" s="97" customFormat="1" ht="45.75" customHeight="1">
      <c r="A472" s="289" t="s">
        <v>1018</v>
      </c>
      <c r="B472" s="56"/>
      <c r="C472" s="37" t="s">
        <v>1163</v>
      </c>
      <c r="D472" s="37" t="s">
        <v>1142</v>
      </c>
      <c r="E472" s="37" t="s">
        <v>786</v>
      </c>
      <c r="F472" s="29" t="s">
        <v>73</v>
      </c>
      <c r="G472" s="26">
        <f>176594.9-1627.9</f>
        <v>174967</v>
      </c>
      <c r="H472" s="26"/>
      <c r="I472" s="26"/>
      <c r="J472" s="97">
        <f>SUM('[1]ведомствен.2012'!G1081)</f>
        <v>174967</v>
      </c>
    </row>
    <row r="473" spans="1:10" ht="33.75" customHeight="1">
      <c r="A473" s="289" t="s">
        <v>316</v>
      </c>
      <c r="B473" s="56"/>
      <c r="C473" s="37" t="s">
        <v>1163</v>
      </c>
      <c r="D473" s="37" t="s">
        <v>1142</v>
      </c>
      <c r="E473" s="37" t="s">
        <v>786</v>
      </c>
      <c r="F473" s="29" t="s">
        <v>772</v>
      </c>
      <c r="G473" s="26">
        <v>1627.9</v>
      </c>
      <c r="H473" s="26"/>
      <c r="I473" s="26"/>
      <c r="J473" s="22">
        <f>SUM('[1]ведомствен.2012'!G1082)</f>
        <v>1627.9</v>
      </c>
    </row>
    <row r="474" spans="1:9" s="97" customFormat="1" ht="32.25" customHeight="1">
      <c r="A474" s="286" t="s">
        <v>493</v>
      </c>
      <c r="B474" s="96"/>
      <c r="C474" s="37" t="s">
        <v>1163</v>
      </c>
      <c r="D474" s="37" t="s">
        <v>1142</v>
      </c>
      <c r="E474" s="37" t="s">
        <v>570</v>
      </c>
      <c r="F474" s="28"/>
      <c r="G474" s="26">
        <f>SUM(G475+G482+G484+G486+G491+G478+G480)+G489</f>
        <v>282057.5</v>
      </c>
      <c r="H474" s="26">
        <f>SUM(H475+H482+H484+H486+H491+H478+H480)+H489</f>
        <v>260775.1</v>
      </c>
      <c r="I474" s="26">
        <f aca="true" t="shared" si="15" ref="I474:I537">SUM(H474/G474*100)</f>
        <v>92.45458816021555</v>
      </c>
    </row>
    <row r="475" spans="1:13" s="97" customFormat="1" ht="20.25" customHeight="1">
      <c r="A475" s="41" t="s">
        <v>494</v>
      </c>
      <c r="B475" s="56"/>
      <c r="C475" s="37" t="s">
        <v>1163</v>
      </c>
      <c r="D475" s="37" t="s">
        <v>1142</v>
      </c>
      <c r="E475" s="37" t="s">
        <v>570</v>
      </c>
      <c r="F475" s="29" t="s">
        <v>142</v>
      </c>
      <c r="G475" s="26">
        <v>65844.4</v>
      </c>
      <c r="H475" s="26">
        <v>53118.9</v>
      </c>
      <c r="I475" s="26">
        <f t="shared" si="15"/>
        <v>80.67337541233576</v>
      </c>
      <c r="J475" s="97">
        <f>SUM('[1]ведомствен.2012'!G1084)+'[1]ведомствен.2012'!G672</f>
        <v>65844.4</v>
      </c>
      <c r="M475" s="183" t="e">
        <f>SUM(#REF!)</f>
        <v>#REF!</v>
      </c>
    </row>
    <row r="476" spans="1:9" s="97" customFormat="1" ht="47.25" customHeight="1" hidden="1">
      <c r="A476" s="41" t="s">
        <v>551</v>
      </c>
      <c r="B476" s="56"/>
      <c r="C476" s="37" t="s">
        <v>1163</v>
      </c>
      <c r="D476" s="37" t="s">
        <v>1142</v>
      </c>
      <c r="E476" s="37" t="s">
        <v>570</v>
      </c>
      <c r="F476" s="28" t="s">
        <v>552</v>
      </c>
      <c r="G476" s="26"/>
      <c r="H476" s="26"/>
      <c r="I476" s="26" t="e">
        <f t="shared" si="15"/>
        <v>#DIV/0!</v>
      </c>
    </row>
    <row r="477" spans="1:9" s="97" customFormat="1" ht="49.5" customHeight="1" hidden="1">
      <c r="A477" s="41" t="s">
        <v>571</v>
      </c>
      <c r="B477" s="56"/>
      <c r="C477" s="37" t="s">
        <v>1163</v>
      </c>
      <c r="D477" s="37" t="s">
        <v>1142</v>
      </c>
      <c r="E477" s="37" t="s">
        <v>570</v>
      </c>
      <c r="F477" s="29" t="s">
        <v>572</v>
      </c>
      <c r="G477" s="26"/>
      <c r="H477" s="26"/>
      <c r="I477" s="26" t="e">
        <f t="shared" si="15"/>
        <v>#DIV/0!</v>
      </c>
    </row>
    <row r="478" spans="1:9" s="97" customFormat="1" ht="67.5" customHeight="1" hidden="1">
      <c r="A478" s="41" t="s">
        <v>553</v>
      </c>
      <c r="B478" s="56"/>
      <c r="C478" s="37" t="s">
        <v>1163</v>
      </c>
      <c r="D478" s="37" t="s">
        <v>1142</v>
      </c>
      <c r="E478" s="57" t="s">
        <v>573</v>
      </c>
      <c r="F478" s="29"/>
      <c r="G478" s="26">
        <f>SUM(G479)</f>
        <v>0</v>
      </c>
      <c r="H478" s="26">
        <f>SUM(H479)</f>
        <v>392.5</v>
      </c>
      <c r="I478" s="26" t="e">
        <f t="shared" si="15"/>
        <v>#DIV/0!</v>
      </c>
    </row>
    <row r="479" spans="1:9" s="97" customFormat="1" ht="32.25" customHeight="1" hidden="1">
      <c r="A479" s="41" t="s">
        <v>555</v>
      </c>
      <c r="B479" s="56"/>
      <c r="C479" s="37" t="s">
        <v>1163</v>
      </c>
      <c r="D479" s="37" t="s">
        <v>1142</v>
      </c>
      <c r="E479" s="57" t="s">
        <v>573</v>
      </c>
      <c r="F479" s="29" t="s">
        <v>556</v>
      </c>
      <c r="G479" s="26"/>
      <c r="H479" s="26">
        <v>392.5</v>
      </c>
      <c r="I479" s="26" t="e">
        <f t="shared" si="15"/>
        <v>#DIV/0!</v>
      </c>
    </row>
    <row r="480" spans="1:9" s="97" customFormat="1" ht="32.25" customHeight="1" hidden="1">
      <c r="A480" s="41" t="s">
        <v>574</v>
      </c>
      <c r="B480" s="56"/>
      <c r="C480" s="37" t="s">
        <v>1163</v>
      </c>
      <c r="D480" s="37" t="s">
        <v>1142</v>
      </c>
      <c r="E480" s="57" t="s">
        <v>575</v>
      </c>
      <c r="F480" s="29"/>
      <c r="G480" s="26">
        <f>SUM(G481)</f>
        <v>0</v>
      </c>
      <c r="H480" s="26">
        <f>SUM(H481)</f>
        <v>0</v>
      </c>
      <c r="I480" s="26" t="e">
        <f t="shared" si="15"/>
        <v>#DIV/0!</v>
      </c>
    </row>
    <row r="481" spans="1:9" s="97" customFormat="1" ht="26.25" customHeight="1" hidden="1">
      <c r="A481" s="41" t="s">
        <v>141</v>
      </c>
      <c r="B481" s="56"/>
      <c r="C481" s="37" t="s">
        <v>1163</v>
      </c>
      <c r="D481" s="37" t="s">
        <v>1142</v>
      </c>
      <c r="E481" s="57" t="s">
        <v>575</v>
      </c>
      <c r="F481" s="29" t="s">
        <v>142</v>
      </c>
      <c r="G481" s="26"/>
      <c r="H481" s="26"/>
      <c r="I481" s="26" t="e">
        <f t="shared" si="15"/>
        <v>#DIV/0!</v>
      </c>
    </row>
    <row r="482" spans="1:9" s="97" customFormat="1" ht="60.75" customHeight="1">
      <c r="A482" s="41" t="s">
        <v>509</v>
      </c>
      <c r="B482" s="56"/>
      <c r="C482" s="37" t="s">
        <v>1163</v>
      </c>
      <c r="D482" s="37" t="s">
        <v>1142</v>
      </c>
      <c r="E482" s="37" t="s">
        <v>510</v>
      </c>
      <c r="F482" s="29"/>
      <c r="G482" s="26">
        <f>SUM(G483)</f>
        <v>5466.6</v>
      </c>
      <c r="H482" s="26">
        <f>SUM(H483)</f>
        <v>5014</v>
      </c>
      <c r="I482" s="26">
        <f t="shared" si="15"/>
        <v>91.72063073939925</v>
      </c>
    </row>
    <row r="483" spans="1:13" s="97" customFormat="1" ht="22.5" customHeight="1">
      <c r="A483" s="41" t="s">
        <v>494</v>
      </c>
      <c r="B483" s="56"/>
      <c r="C483" s="37" t="s">
        <v>1163</v>
      </c>
      <c r="D483" s="37" t="s">
        <v>1142</v>
      </c>
      <c r="E483" s="37" t="s">
        <v>510</v>
      </c>
      <c r="F483" s="29" t="s">
        <v>142</v>
      </c>
      <c r="G483" s="26">
        <v>5466.6</v>
      </c>
      <c r="H483" s="26">
        <v>5014</v>
      </c>
      <c r="I483" s="26">
        <f t="shared" si="15"/>
        <v>91.72063073939925</v>
      </c>
      <c r="J483" s="97">
        <f>SUM('[1]ведомствен.2012'!G1092)</f>
        <v>5466.6</v>
      </c>
      <c r="M483" s="183" t="e">
        <f>SUM(#REF!)</f>
        <v>#REF!</v>
      </c>
    </row>
    <row r="484" spans="1:10" ht="58.5" customHeight="1" hidden="1">
      <c r="A484" s="27" t="s">
        <v>511</v>
      </c>
      <c r="B484" s="30"/>
      <c r="C484" s="37" t="s">
        <v>1163</v>
      </c>
      <c r="D484" s="37" t="s">
        <v>1142</v>
      </c>
      <c r="E484" s="37" t="s">
        <v>512</v>
      </c>
      <c r="F484" s="29"/>
      <c r="G484" s="26">
        <f>SUM(G485)</f>
        <v>0</v>
      </c>
      <c r="H484" s="26">
        <f>SUM(H485)</f>
        <v>0</v>
      </c>
      <c r="I484" s="26" t="e">
        <f t="shared" si="15"/>
        <v>#DIV/0!</v>
      </c>
      <c r="J484"/>
    </row>
    <row r="485" spans="1:9" s="97" customFormat="1" ht="18" customHeight="1" hidden="1">
      <c r="A485" s="41" t="s">
        <v>141</v>
      </c>
      <c r="B485" s="56"/>
      <c r="C485" s="37" t="s">
        <v>1163</v>
      </c>
      <c r="D485" s="37" t="s">
        <v>1142</v>
      </c>
      <c r="E485" s="37" t="s">
        <v>512</v>
      </c>
      <c r="F485" s="29" t="s">
        <v>142</v>
      </c>
      <c r="G485" s="26"/>
      <c r="H485" s="26"/>
      <c r="I485" s="26" t="e">
        <f t="shared" si="15"/>
        <v>#DIV/0!</v>
      </c>
    </row>
    <row r="486" spans="1:10" ht="45" customHeight="1">
      <c r="A486" s="41" t="s">
        <v>513</v>
      </c>
      <c r="B486" s="56"/>
      <c r="C486" s="37" t="s">
        <v>1163</v>
      </c>
      <c r="D486" s="37" t="s">
        <v>1142</v>
      </c>
      <c r="E486" s="37" t="s">
        <v>514</v>
      </c>
      <c r="F486" s="29"/>
      <c r="G486" s="26">
        <f>SUM(G487)</f>
        <v>504.2</v>
      </c>
      <c r="H486" s="26">
        <f>SUM(H487)</f>
        <v>454</v>
      </c>
      <c r="I486" s="26">
        <f t="shared" si="15"/>
        <v>90.04363347877826</v>
      </c>
      <c r="J486"/>
    </row>
    <row r="487" spans="1:13" s="97" customFormat="1" ht="18.75" customHeight="1">
      <c r="A487" s="41" t="s">
        <v>494</v>
      </c>
      <c r="B487" s="56"/>
      <c r="C487" s="37" t="s">
        <v>1163</v>
      </c>
      <c r="D487" s="37" t="s">
        <v>1142</v>
      </c>
      <c r="E487" s="37" t="s">
        <v>514</v>
      </c>
      <c r="F487" s="29" t="s">
        <v>142</v>
      </c>
      <c r="G487" s="26">
        <v>504.2</v>
      </c>
      <c r="H487" s="26">
        <v>454</v>
      </c>
      <c r="I487" s="26">
        <f t="shared" si="15"/>
        <v>90.04363347877826</v>
      </c>
      <c r="J487" s="97">
        <f>SUM('[1]ведомствен.2012'!G1096)</f>
        <v>504.2</v>
      </c>
      <c r="M487" s="183" t="e">
        <f>SUM(#REF!)</f>
        <v>#REF!</v>
      </c>
    </row>
    <row r="488" spans="1:10" ht="27" customHeight="1" hidden="1">
      <c r="A488" s="27" t="s">
        <v>848</v>
      </c>
      <c r="B488" s="56"/>
      <c r="C488" s="37" t="s">
        <v>1163</v>
      </c>
      <c r="D488" s="37" t="s">
        <v>1142</v>
      </c>
      <c r="E488" s="37" t="s">
        <v>570</v>
      </c>
      <c r="F488" s="29" t="s">
        <v>849</v>
      </c>
      <c r="G488" s="26"/>
      <c r="H488" s="26"/>
      <c r="I488" s="26" t="e">
        <f t="shared" si="15"/>
        <v>#DIV/0!</v>
      </c>
      <c r="J488"/>
    </row>
    <row r="489" spans="1:10" ht="57" customHeight="1" hidden="1">
      <c r="A489" s="41" t="s">
        <v>850</v>
      </c>
      <c r="B489" s="56"/>
      <c r="C489" s="37" t="s">
        <v>1163</v>
      </c>
      <c r="D489" s="37" t="s">
        <v>1142</v>
      </c>
      <c r="E489" s="37" t="s">
        <v>851</v>
      </c>
      <c r="F489" s="29"/>
      <c r="G489" s="26">
        <f>SUM(G490)</f>
        <v>0</v>
      </c>
      <c r="H489" s="26">
        <f>SUM(H490)</f>
        <v>0</v>
      </c>
      <c r="I489" s="26" t="e">
        <f t="shared" si="15"/>
        <v>#DIV/0!</v>
      </c>
      <c r="J489"/>
    </row>
    <row r="490" spans="1:10" ht="25.5" customHeight="1" hidden="1">
      <c r="A490" s="41" t="s">
        <v>852</v>
      </c>
      <c r="B490" s="56"/>
      <c r="C490" s="37" t="s">
        <v>1163</v>
      </c>
      <c r="D490" s="37" t="s">
        <v>1142</v>
      </c>
      <c r="E490" s="37" t="s">
        <v>851</v>
      </c>
      <c r="F490" s="29" t="s">
        <v>853</v>
      </c>
      <c r="G490" s="26"/>
      <c r="H490" s="26"/>
      <c r="I490" s="26" t="e">
        <f t="shared" si="15"/>
        <v>#DIV/0!</v>
      </c>
      <c r="J490"/>
    </row>
    <row r="491" spans="1:10" ht="62.25" customHeight="1">
      <c r="A491" s="41" t="s">
        <v>854</v>
      </c>
      <c r="B491" s="56"/>
      <c r="C491" s="37" t="s">
        <v>1163</v>
      </c>
      <c r="D491" s="37" t="s">
        <v>1142</v>
      </c>
      <c r="E491" s="37" t="s">
        <v>855</v>
      </c>
      <c r="F491" s="29"/>
      <c r="G491" s="26">
        <f>SUM(G492)</f>
        <v>210242.3</v>
      </c>
      <c r="H491" s="26">
        <f>SUM(H492)</f>
        <v>201795.7</v>
      </c>
      <c r="I491" s="26">
        <f t="shared" si="15"/>
        <v>95.98244501701133</v>
      </c>
      <c r="J491"/>
    </row>
    <row r="492" spans="1:13" ht="20.25" customHeight="1">
      <c r="A492" s="41" t="s">
        <v>494</v>
      </c>
      <c r="B492" s="56"/>
      <c r="C492" s="37" t="s">
        <v>1163</v>
      </c>
      <c r="D492" s="37" t="s">
        <v>1142</v>
      </c>
      <c r="E492" s="37" t="s">
        <v>855</v>
      </c>
      <c r="F492" s="29" t="s">
        <v>142</v>
      </c>
      <c r="G492" s="26">
        <v>210242.3</v>
      </c>
      <c r="H492" s="26">
        <v>201795.7</v>
      </c>
      <c r="I492" s="26">
        <f t="shared" si="15"/>
        <v>95.98244501701133</v>
      </c>
      <c r="J492" s="97">
        <f>SUM('[1]ведомствен.2012'!G1101)</f>
        <v>210242.3</v>
      </c>
      <c r="M492" s="183" t="e">
        <f>SUM(#REF!)</f>
        <v>#REF!</v>
      </c>
    </row>
    <row r="493" spans="1:10" ht="18" customHeight="1">
      <c r="A493" s="35" t="s">
        <v>856</v>
      </c>
      <c r="B493" s="23"/>
      <c r="C493" s="37" t="s">
        <v>1163</v>
      </c>
      <c r="D493" s="37" t="s">
        <v>1142</v>
      </c>
      <c r="E493" s="37" t="s">
        <v>857</v>
      </c>
      <c r="F493" s="28"/>
      <c r="G493" s="26">
        <f>SUM(G499)+G494</f>
        <v>110016.90000000001</v>
      </c>
      <c r="H493" s="26">
        <f>SUM(H499)</f>
        <v>56800.6</v>
      </c>
      <c r="I493" s="26">
        <f t="shared" si="15"/>
        <v>51.62897700262413</v>
      </c>
      <c r="J493"/>
    </row>
    <row r="494" spans="1:10" ht="28.5" customHeight="1">
      <c r="A494" s="286" t="s">
        <v>1016</v>
      </c>
      <c r="B494" s="96"/>
      <c r="C494" s="37" t="s">
        <v>1163</v>
      </c>
      <c r="D494" s="37" t="s">
        <v>1142</v>
      </c>
      <c r="E494" s="37" t="s">
        <v>765</v>
      </c>
      <c r="F494" s="28"/>
      <c r="G494" s="26">
        <f>SUM(G495)+G497</f>
        <v>108665.1</v>
      </c>
      <c r="H494" s="26">
        <f>SUM(H496+H522+H520)</f>
        <v>70597.40000000001</v>
      </c>
      <c r="I494" s="26">
        <f t="shared" si="15"/>
        <v>64.96786916866594</v>
      </c>
      <c r="J494"/>
    </row>
    <row r="495" spans="1:10" ht="43.5" customHeight="1">
      <c r="A495" s="286" t="s">
        <v>804</v>
      </c>
      <c r="B495" s="96"/>
      <c r="C495" s="37" t="s">
        <v>1163</v>
      </c>
      <c r="D495" s="37" t="s">
        <v>1142</v>
      </c>
      <c r="E495" s="37" t="s">
        <v>766</v>
      </c>
      <c r="F495" s="28"/>
      <c r="G495" s="26">
        <f>SUM(G496)</f>
        <v>108638.6</v>
      </c>
      <c r="H495" s="26"/>
      <c r="I495" s="26"/>
      <c r="J495"/>
    </row>
    <row r="496" spans="1:13" ht="44.25" customHeight="1">
      <c r="A496" s="289" t="s">
        <v>315</v>
      </c>
      <c r="B496" s="56"/>
      <c r="C496" s="37" t="s">
        <v>1163</v>
      </c>
      <c r="D496" s="37" t="s">
        <v>1142</v>
      </c>
      <c r="E496" s="37" t="s">
        <v>766</v>
      </c>
      <c r="F496" s="29" t="s">
        <v>496</v>
      </c>
      <c r="G496" s="26">
        <f>108365.1-35.3+308.8</f>
        <v>108638.6</v>
      </c>
      <c r="H496" s="26">
        <v>56722</v>
      </c>
      <c r="I496" s="26">
        <f t="shared" si="15"/>
        <v>52.2116448481479</v>
      </c>
      <c r="J496">
        <f>SUM('[1]ведомствен.2012'!G1216)+'[1]ведомствен.2012'!G1106+'[1]ведомствен.2012'!G960</f>
        <v>108638.6</v>
      </c>
      <c r="M496" t="e">
        <f>SUM(#REF!)+#REF!</f>
        <v>#REF!</v>
      </c>
    </row>
    <row r="497" spans="1:10" ht="57">
      <c r="A497" s="289" t="s">
        <v>513</v>
      </c>
      <c r="B497" s="56"/>
      <c r="C497" s="37" t="s">
        <v>1163</v>
      </c>
      <c r="D497" s="37" t="s">
        <v>1142</v>
      </c>
      <c r="E497" s="37" t="s">
        <v>768</v>
      </c>
      <c r="F497" s="29"/>
      <c r="G497" s="26">
        <f>SUM(G498)</f>
        <v>26.5</v>
      </c>
      <c r="H497" s="26">
        <f>SUM(H498)</f>
        <v>1305.1</v>
      </c>
      <c r="I497" s="26">
        <f>SUM(H497/G497*100)</f>
        <v>4924.905660377358</v>
      </c>
      <c r="J497"/>
    </row>
    <row r="498" spans="1:13" ht="42.75" customHeight="1">
      <c r="A498" s="286" t="s">
        <v>1017</v>
      </c>
      <c r="B498" s="56"/>
      <c r="C498" s="37" t="s">
        <v>1163</v>
      </c>
      <c r="D498" s="37" t="s">
        <v>1142</v>
      </c>
      <c r="E498" s="37" t="s">
        <v>768</v>
      </c>
      <c r="F498" s="29" t="s">
        <v>496</v>
      </c>
      <c r="G498" s="26">
        <v>26.5</v>
      </c>
      <c r="H498" s="26">
        <v>1305.1</v>
      </c>
      <c r="I498" s="26">
        <f>SUM(H498/G498*100)</f>
        <v>4924.905660377358</v>
      </c>
      <c r="J498">
        <f>SUM('[1]ведомствен.2012'!G1218)</f>
        <v>26.5</v>
      </c>
      <c r="M498" s="257" t="e">
        <f>SUM(#REF!)</f>
        <v>#REF!</v>
      </c>
    </row>
    <row r="499" spans="1:10" ht="30.75" customHeight="1">
      <c r="A499" s="27" t="s">
        <v>493</v>
      </c>
      <c r="B499" s="96"/>
      <c r="C499" s="37" t="s">
        <v>1163</v>
      </c>
      <c r="D499" s="37" t="s">
        <v>1142</v>
      </c>
      <c r="E499" s="37" t="s">
        <v>858</v>
      </c>
      <c r="F499" s="28"/>
      <c r="G499" s="26">
        <f>SUM(G500+G505+G503)</f>
        <v>1351.8</v>
      </c>
      <c r="H499" s="26">
        <f>SUM(H500+H505+H503)</f>
        <v>56800.6</v>
      </c>
      <c r="I499" s="26">
        <f t="shared" si="15"/>
        <v>4201.849386003847</v>
      </c>
      <c r="J499"/>
    </row>
    <row r="500" spans="1:10" ht="19.5" customHeight="1">
      <c r="A500" s="41" t="s">
        <v>494</v>
      </c>
      <c r="B500" s="56"/>
      <c r="C500" s="37" t="s">
        <v>1163</v>
      </c>
      <c r="D500" s="37" t="s">
        <v>1142</v>
      </c>
      <c r="E500" s="37" t="s">
        <v>858</v>
      </c>
      <c r="F500" s="29" t="s">
        <v>142</v>
      </c>
      <c r="G500" s="26">
        <v>1351.8</v>
      </c>
      <c r="H500" s="26">
        <v>56722</v>
      </c>
      <c r="I500" s="26">
        <f t="shared" si="15"/>
        <v>4196.0349164077525</v>
      </c>
      <c r="J500">
        <f>SUM('[1]ведомствен.2012'!G675)</f>
        <v>1351.8</v>
      </c>
    </row>
    <row r="501" spans="1:10" ht="45.75" customHeight="1" hidden="1">
      <c r="A501" s="41" t="s">
        <v>859</v>
      </c>
      <c r="B501" s="56"/>
      <c r="C501" s="37" t="s">
        <v>1163</v>
      </c>
      <c r="D501" s="37" t="s">
        <v>1142</v>
      </c>
      <c r="E501" s="37" t="s">
        <v>858</v>
      </c>
      <c r="F501" s="29" t="s">
        <v>521</v>
      </c>
      <c r="G501" s="26"/>
      <c r="H501" s="26"/>
      <c r="I501" s="26" t="e">
        <f t="shared" si="15"/>
        <v>#DIV/0!</v>
      </c>
      <c r="J501"/>
    </row>
    <row r="502" spans="1:9" s="97" customFormat="1" ht="47.25" customHeight="1" hidden="1">
      <c r="A502" s="41" t="s">
        <v>551</v>
      </c>
      <c r="B502" s="56"/>
      <c r="C502" s="37" t="s">
        <v>1163</v>
      </c>
      <c r="D502" s="37" t="s">
        <v>1142</v>
      </c>
      <c r="E502" s="37" t="s">
        <v>858</v>
      </c>
      <c r="F502" s="28" t="s">
        <v>552</v>
      </c>
      <c r="G502" s="26"/>
      <c r="H502" s="26"/>
      <c r="I502" s="26" t="e">
        <f t="shared" si="15"/>
        <v>#DIV/0!</v>
      </c>
    </row>
    <row r="503" spans="1:9" s="97" customFormat="1" ht="66.75" customHeight="1" hidden="1">
      <c r="A503" s="41" t="s">
        <v>553</v>
      </c>
      <c r="B503" s="56"/>
      <c r="C503" s="37" t="s">
        <v>1163</v>
      </c>
      <c r="D503" s="37" t="s">
        <v>1142</v>
      </c>
      <c r="E503" s="57" t="s">
        <v>522</v>
      </c>
      <c r="F503" s="29"/>
      <c r="G503" s="26">
        <f>SUM(G504)</f>
        <v>0</v>
      </c>
      <c r="H503" s="26">
        <f>SUM(H504)</f>
        <v>78.6</v>
      </c>
      <c r="I503" s="26" t="e">
        <f t="shared" si="15"/>
        <v>#DIV/0!</v>
      </c>
    </row>
    <row r="504" spans="1:9" s="97" customFormat="1" ht="34.5" customHeight="1" hidden="1">
      <c r="A504" s="41" t="s">
        <v>555</v>
      </c>
      <c r="B504" s="56"/>
      <c r="C504" s="37" t="s">
        <v>1163</v>
      </c>
      <c r="D504" s="37" t="s">
        <v>1142</v>
      </c>
      <c r="E504" s="57" t="s">
        <v>522</v>
      </c>
      <c r="F504" s="29" t="s">
        <v>556</v>
      </c>
      <c r="G504" s="26"/>
      <c r="H504" s="26">
        <v>78.6</v>
      </c>
      <c r="I504" s="26" t="e">
        <f t="shared" si="15"/>
        <v>#DIV/0!</v>
      </c>
    </row>
    <row r="505" spans="1:9" s="97" customFormat="1" ht="65.25" customHeight="1" hidden="1">
      <c r="A505" s="27" t="s">
        <v>511</v>
      </c>
      <c r="B505" s="56"/>
      <c r="C505" s="37" t="s">
        <v>1163</v>
      </c>
      <c r="D505" s="37" t="s">
        <v>1142</v>
      </c>
      <c r="E505" s="37" t="s">
        <v>523</v>
      </c>
      <c r="F505" s="29"/>
      <c r="G505" s="26">
        <f>SUM(G506)</f>
        <v>0</v>
      </c>
      <c r="H505" s="26">
        <f>SUM(H506)</f>
        <v>0</v>
      </c>
      <c r="I505" s="26" t="e">
        <f t="shared" si="15"/>
        <v>#DIV/0!</v>
      </c>
    </row>
    <row r="506" spans="1:10" ht="15.75" customHeight="1" hidden="1">
      <c r="A506" s="41" t="s">
        <v>141</v>
      </c>
      <c r="B506" s="56"/>
      <c r="C506" s="37" t="s">
        <v>1163</v>
      </c>
      <c r="D506" s="37" t="s">
        <v>1142</v>
      </c>
      <c r="E506" s="37" t="s">
        <v>523</v>
      </c>
      <c r="F506" s="29" t="s">
        <v>142</v>
      </c>
      <c r="G506" s="26"/>
      <c r="H506" s="26"/>
      <c r="I506" s="26" t="e">
        <f t="shared" si="15"/>
        <v>#DIV/0!</v>
      </c>
      <c r="J506"/>
    </row>
    <row r="507" spans="1:10" ht="18.75" customHeight="1" hidden="1">
      <c r="A507" s="27" t="s">
        <v>848</v>
      </c>
      <c r="B507" s="56"/>
      <c r="C507" s="37" t="s">
        <v>1163</v>
      </c>
      <c r="D507" s="37" t="s">
        <v>1142</v>
      </c>
      <c r="E507" s="37" t="s">
        <v>858</v>
      </c>
      <c r="F507" s="29" t="s">
        <v>849</v>
      </c>
      <c r="G507" s="26"/>
      <c r="H507" s="26"/>
      <c r="I507" s="26" t="e">
        <f t="shared" si="15"/>
        <v>#DIV/0!</v>
      </c>
      <c r="J507"/>
    </row>
    <row r="508" spans="1:9" s="2" customFormat="1" ht="17.25" customHeight="1">
      <c r="A508" s="35" t="s">
        <v>524</v>
      </c>
      <c r="B508" s="23"/>
      <c r="C508" s="37" t="s">
        <v>1163</v>
      </c>
      <c r="D508" s="37" t="s">
        <v>1142</v>
      </c>
      <c r="E508" s="37" t="s">
        <v>525</v>
      </c>
      <c r="F508" s="49"/>
      <c r="G508" s="26">
        <f>SUM(G509)</f>
        <v>49351</v>
      </c>
      <c r="H508" s="26">
        <f>SUM(H509)</f>
        <v>25662.5</v>
      </c>
      <c r="I508" s="26">
        <f t="shared" si="15"/>
        <v>51.999959473972154</v>
      </c>
    </row>
    <row r="509" spans="1:9" s="2" customFormat="1" ht="29.25" customHeight="1">
      <c r="A509" s="27" t="s">
        <v>493</v>
      </c>
      <c r="B509" s="23"/>
      <c r="C509" s="37" t="s">
        <v>1163</v>
      </c>
      <c r="D509" s="37" t="s">
        <v>1142</v>
      </c>
      <c r="E509" s="37" t="s">
        <v>526</v>
      </c>
      <c r="F509" s="49"/>
      <c r="G509" s="26">
        <f>SUM(G513+G511)+G510</f>
        <v>49351</v>
      </c>
      <c r="H509" s="26">
        <f>SUM(H513+H511+H510)</f>
        <v>25662.5</v>
      </c>
      <c r="I509" s="26">
        <f t="shared" si="15"/>
        <v>51.999959473972154</v>
      </c>
    </row>
    <row r="510" spans="1:10" s="2" customFormat="1" ht="21" customHeight="1">
      <c r="A510" s="41" t="s">
        <v>494</v>
      </c>
      <c r="B510" s="23"/>
      <c r="C510" s="37" t="s">
        <v>1163</v>
      </c>
      <c r="D510" s="37" t="s">
        <v>1142</v>
      </c>
      <c r="E510" s="24" t="s">
        <v>527</v>
      </c>
      <c r="F510" s="28" t="s">
        <v>142</v>
      </c>
      <c r="G510" s="26">
        <v>349.4</v>
      </c>
      <c r="H510" s="26"/>
      <c r="I510" s="26">
        <f t="shared" si="15"/>
        <v>0</v>
      </c>
      <c r="J510" s="2">
        <f>SUM('[1]ведомствен.2012'!G678)</f>
        <v>349.4</v>
      </c>
    </row>
    <row r="511" spans="1:9" s="2" customFormat="1" ht="47.25" customHeight="1">
      <c r="A511" s="41" t="s">
        <v>513</v>
      </c>
      <c r="B511" s="56"/>
      <c r="C511" s="37" t="s">
        <v>1163</v>
      </c>
      <c r="D511" s="37" t="s">
        <v>1142</v>
      </c>
      <c r="E511" s="37" t="s">
        <v>528</v>
      </c>
      <c r="F511" s="29"/>
      <c r="G511" s="26">
        <f>SUM(G512)</f>
        <v>38.5</v>
      </c>
      <c r="H511" s="26">
        <f>SUM(H512)</f>
        <v>27.5</v>
      </c>
      <c r="I511" s="26">
        <f t="shared" si="15"/>
        <v>71.42857142857143</v>
      </c>
    </row>
    <row r="512" spans="1:13" s="2" customFormat="1" ht="18.75" customHeight="1">
      <c r="A512" s="41" t="s">
        <v>494</v>
      </c>
      <c r="B512" s="23"/>
      <c r="C512" s="37" t="s">
        <v>1163</v>
      </c>
      <c r="D512" s="37" t="s">
        <v>1142</v>
      </c>
      <c r="E512" s="37" t="s">
        <v>528</v>
      </c>
      <c r="F512" s="28" t="s">
        <v>142</v>
      </c>
      <c r="G512" s="26">
        <v>38.5</v>
      </c>
      <c r="H512" s="26">
        <v>27.5</v>
      </c>
      <c r="I512" s="26">
        <f t="shared" si="15"/>
        <v>71.42857142857143</v>
      </c>
      <c r="J512" s="184">
        <f>SUM('[1]ведомствен.2012'!G680)</f>
        <v>38.5</v>
      </c>
      <c r="M512" s="184" t="e">
        <f>SUM(#REF!)</f>
        <v>#REF!</v>
      </c>
    </row>
    <row r="513" spans="1:9" s="2" customFormat="1" ht="32.25" customHeight="1">
      <c r="A513" s="27" t="s">
        <v>532</v>
      </c>
      <c r="B513" s="23"/>
      <c r="C513" s="37" t="s">
        <v>1163</v>
      </c>
      <c r="D513" s="37" t="s">
        <v>1142</v>
      </c>
      <c r="E513" s="37" t="s">
        <v>533</v>
      </c>
      <c r="F513" s="49"/>
      <c r="G513" s="26">
        <f>SUM(G514)</f>
        <v>48963.1</v>
      </c>
      <c r="H513" s="26">
        <f>SUM(H514)</f>
        <v>25635</v>
      </c>
      <c r="I513" s="26">
        <f t="shared" si="15"/>
        <v>52.355753618541314</v>
      </c>
    </row>
    <row r="514" spans="1:13" s="2" customFormat="1" ht="15">
      <c r="A514" s="41" t="s">
        <v>494</v>
      </c>
      <c r="B514" s="23"/>
      <c r="C514" s="37" t="s">
        <v>1163</v>
      </c>
      <c r="D514" s="37" t="s">
        <v>1142</v>
      </c>
      <c r="E514" s="37" t="s">
        <v>533</v>
      </c>
      <c r="F514" s="49" t="s">
        <v>142</v>
      </c>
      <c r="G514" s="26">
        <v>48963.1</v>
      </c>
      <c r="H514" s="26">
        <v>25635</v>
      </c>
      <c r="I514" s="26">
        <f t="shared" si="15"/>
        <v>52.355753618541314</v>
      </c>
      <c r="J514" s="184">
        <f>SUM('[1]ведомствен.2012'!G682)</f>
        <v>48963.1</v>
      </c>
      <c r="M514" s="184" t="e">
        <f>SUM(#REF!)</f>
        <v>#REF!</v>
      </c>
    </row>
    <row r="515" spans="1:10" ht="18" customHeight="1">
      <c r="A515" s="27" t="s">
        <v>534</v>
      </c>
      <c r="B515" s="37"/>
      <c r="C515" s="37" t="s">
        <v>1163</v>
      </c>
      <c r="D515" s="37" t="s">
        <v>1142</v>
      </c>
      <c r="E515" s="37" t="s">
        <v>535</v>
      </c>
      <c r="F515" s="28"/>
      <c r="G515" s="26">
        <f>SUM(G516)</f>
        <v>29070.5</v>
      </c>
      <c r="H515" s="26">
        <f>SUM(H516)</f>
        <v>13916.300000000001</v>
      </c>
      <c r="I515" s="26">
        <f t="shared" si="15"/>
        <v>47.870865654185515</v>
      </c>
      <c r="J515"/>
    </row>
    <row r="516" spans="1:10" ht="31.5" customHeight="1">
      <c r="A516" s="27" t="s">
        <v>806</v>
      </c>
      <c r="B516" s="96"/>
      <c r="C516" s="37" t="s">
        <v>1163</v>
      </c>
      <c r="D516" s="37" t="s">
        <v>1142</v>
      </c>
      <c r="E516" s="37" t="s">
        <v>536</v>
      </c>
      <c r="F516" s="28"/>
      <c r="G516" s="26">
        <f>SUM(G518+G520+G522)+G517</f>
        <v>29070.5</v>
      </c>
      <c r="H516" s="26">
        <f>SUM(H518+H520+H522)</f>
        <v>13916.300000000001</v>
      </c>
      <c r="I516" s="26">
        <f t="shared" si="15"/>
        <v>47.870865654185515</v>
      </c>
      <c r="J516"/>
    </row>
    <row r="517" spans="1:10" ht="20.25" customHeight="1">
      <c r="A517" s="41" t="s">
        <v>141</v>
      </c>
      <c r="B517" s="56"/>
      <c r="C517" s="37" t="s">
        <v>1163</v>
      </c>
      <c r="D517" s="37" t="s">
        <v>1142</v>
      </c>
      <c r="E517" s="37" t="s">
        <v>536</v>
      </c>
      <c r="F517" s="29" t="s">
        <v>142</v>
      </c>
      <c r="G517" s="26">
        <v>250.6</v>
      </c>
      <c r="H517" s="26"/>
      <c r="I517" s="26">
        <f t="shared" si="15"/>
        <v>0</v>
      </c>
      <c r="J517">
        <f>SUM('[1]ведомствен.2012'!G685)</f>
        <v>250.6</v>
      </c>
    </row>
    <row r="518" spans="1:9" s="97" customFormat="1" ht="18" customHeight="1" hidden="1">
      <c r="A518" s="41" t="s">
        <v>553</v>
      </c>
      <c r="B518" s="56"/>
      <c r="C518" s="37" t="s">
        <v>1163</v>
      </c>
      <c r="D518" s="37" t="s">
        <v>1142</v>
      </c>
      <c r="E518" s="57" t="s">
        <v>522</v>
      </c>
      <c r="F518" s="29"/>
      <c r="G518" s="26">
        <f>SUM(G519)</f>
        <v>0</v>
      </c>
      <c r="H518" s="26">
        <f>SUM(H519)</f>
        <v>40.9</v>
      </c>
      <c r="I518" s="26" t="e">
        <f t="shared" si="15"/>
        <v>#DIV/0!</v>
      </c>
    </row>
    <row r="519" spans="1:9" s="97" customFormat="1" ht="16.5" customHeight="1" hidden="1">
      <c r="A519" s="41" t="s">
        <v>555</v>
      </c>
      <c r="B519" s="56"/>
      <c r="C519" s="37" t="s">
        <v>1163</v>
      </c>
      <c r="D519" s="37" t="s">
        <v>1142</v>
      </c>
      <c r="E519" s="57" t="s">
        <v>522</v>
      </c>
      <c r="F519" s="29" t="s">
        <v>556</v>
      </c>
      <c r="G519" s="26"/>
      <c r="H519" s="26">
        <v>40.9</v>
      </c>
      <c r="I519" s="26" t="e">
        <f t="shared" si="15"/>
        <v>#DIV/0!</v>
      </c>
    </row>
    <row r="520" spans="1:10" ht="43.5" customHeight="1">
      <c r="A520" s="41" t="s">
        <v>513</v>
      </c>
      <c r="B520" s="56"/>
      <c r="C520" s="37" t="s">
        <v>1163</v>
      </c>
      <c r="D520" s="37" t="s">
        <v>1142</v>
      </c>
      <c r="E520" s="37" t="s">
        <v>537</v>
      </c>
      <c r="F520" s="29"/>
      <c r="G520" s="26">
        <f>SUM(G521)</f>
        <v>33.2</v>
      </c>
      <c r="H520" s="26">
        <f>SUM(H521)</f>
        <v>12.8</v>
      </c>
      <c r="I520" s="26">
        <f t="shared" si="15"/>
        <v>38.554216867469876</v>
      </c>
      <c r="J520"/>
    </row>
    <row r="521" spans="1:13" ht="16.5" customHeight="1">
      <c r="A521" s="41" t="s">
        <v>494</v>
      </c>
      <c r="B521" s="56"/>
      <c r="C521" s="37" t="s">
        <v>1163</v>
      </c>
      <c r="D521" s="37" t="s">
        <v>1142</v>
      </c>
      <c r="E521" s="37" t="s">
        <v>537</v>
      </c>
      <c r="F521" s="29" t="s">
        <v>142</v>
      </c>
      <c r="G521" s="26">
        <v>33.2</v>
      </c>
      <c r="H521" s="26">
        <v>12.8</v>
      </c>
      <c r="I521" s="26">
        <f t="shared" si="15"/>
        <v>38.554216867469876</v>
      </c>
      <c r="J521" s="183">
        <f>SUM('[1]ведомствен.2012'!G1123)</f>
        <v>33.2</v>
      </c>
      <c r="M521" s="183" t="e">
        <f>SUM(#REF!)</f>
        <v>#REF!</v>
      </c>
    </row>
    <row r="522" spans="1:10" ht="89.25" customHeight="1">
      <c r="A522" s="41" t="s">
        <v>538</v>
      </c>
      <c r="B522" s="56"/>
      <c r="C522" s="37" t="s">
        <v>1163</v>
      </c>
      <c r="D522" s="37" t="s">
        <v>1142</v>
      </c>
      <c r="E522" s="37" t="s">
        <v>539</v>
      </c>
      <c r="F522" s="29"/>
      <c r="G522" s="26">
        <f>SUM(G523)</f>
        <v>28786.7</v>
      </c>
      <c r="H522" s="26">
        <f>SUM(H523)</f>
        <v>13862.6</v>
      </c>
      <c r="I522" s="26">
        <f t="shared" si="15"/>
        <v>48.15626660923273</v>
      </c>
      <c r="J522"/>
    </row>
    <row r="523" spans="1:13" ht="16.5" customHeight="1">
      <c r="A523" s="41" t="s">
        <v>494</v>
      </c>
      <c r="B523" s="56"/>
      <c r="C523" s="37" t="s">
        <v>1163</v>
      </c>
      <c r="D523" s="37" t="s">
        <v>1142</v>
      </c>
      <c r="E523" s="37" t="s">
        <v>539</v>
      </c>
      <c r="F523" s="29" t="s">
        <v>142</v>
      </c>
      <c r="G523" s="26">
        <v>28786.7</v>
      </c>
      <c r="H523" s="26">
        <v>13862.6</v>
      </c>
      <c r="I523" s="26">
        <f t="shared" si="15"/>
        <v>48.15626660923273</v>
      </c>
      <c r="J523" s="183">
        <f>SUM('[1]ведомствен.2012'!G1125)</f>
        <v>28786.7</v>
      </c>
      <c r="M523" s="183" t="e">
        <f>SUM(#REF!)</f>
        <v>#REF!</v>
      </c>
    </row>
    <row r="524" spans="1:10" ht="16.5" customHeight="1" hidden="1">
      <c r="A524" s="41" t="s">
        <v>540</v>
      </c>
      <c r="B524" s="56"/>
      <c r="C524" s="37" t="s">
        <v>1163</v>
      </c>
      <c r="D524" s="37" t="s">
        <v>1142</v>
      </c>
      <c r="E524" s="57" t="s">
        <v>541</v>
      </c>
      <c r="F524" s="29"/>
      <c r="G524" s="98">
        <f>SUM(G525)</f>
        <v>0</v>
      </c>
      <c r="H524" s="98">
        <f>SUM(H525)</f>
        <v>0</v>
      </c>
      <c r="I524" s="26" t="e">
        <f t="shared" si="15"/>
        <v>#DIV/0!</v>
      </c>
      <c r="J524"/>
    </row>
    <row r="525" spans="1:10" ht="45" customHeight="1" hidden="1">
      <c r="A525" s="41" t="s">
        <v>60</v>
      </c>
      <c r="B525" s="56"/>
      <c r="C525" s="37" t="s">
        <v>1163</v>
      </c>
      <c r="D525" s="37" t="s">
        <v>1142</v>
      </c>
      <c r="E525" s="57" t="s">
        <v>61</v>
      </c>
      <c r="F525" s="29"/>
      <c r="G525" s="98">
        <f>SUM(G526)</f>
        <v>0</v>
      </c>
      <c r="H525" s="98">
        <f>SUM(H526)</f>
        <v>0</v>
      </c>
      <c r="I525" s="26" t="e">
        <f t="shared" si="15"/>
        <v>#DIV/0!</v>
      </c>
      <c r="J525"/>
    </row>
    <row r="526" spans="1:10" ht="16.5" customHeight="1" hidden="1">
      <c r="A526" s="41" t="s">
        <v>141</v>
      </c>
      <c r="B526" s="56"/>
      <c r="C526" s="37" t="s">
        <v>1163</v>
      </c>
      <c r="D526" s="37" t="s">
        <v>1142</v>
      </c>
      <c r="E526" s="57" t="s">
        <v>61</v>
      </c>
      <c r="F526" s="29" t="s">
        <v>142</v>
      </c>
      <c r="G526" s="98"/>
      <c r="H526" s="98"/>
      <c r="I526" s="26" t="e">
        <f t="shared" si="15"/>
        <v>#DIV/0!</v>
      </c>
      <c r="J526"/>
    </row>
    <row r="527" spans="1:10" ht="32.25" customHeight="1" hidden="1">
      <c r="A527" s="41" t="s">
        <v>62</v>
      </c>
      <c r="B527" s="56"/>
      <c r="C527" s="37" t="s">
        <v>1163</v>
      </c>
      <c r="D527" s="37" t="s">
        <v>1142</v>
      </c>
      <c r="E527" s="37" t="s">
        <v>63</v>
      </c>
      <c r="F527" s="29"/>
      <c r="G527" s="26">
        <f aca="true" t="shared" si="16" ref="G527:H529">SUM(G528)</f>
        <v>0</v>
      </c>
      <c r="H527" s="26">
        <f t="shared" si="16"/>
        <v>0</v>
      </c>
      <c r="I527" s="26" t="e">
        <f t="shared" si="15"/>
        <v>#DIV/0!</v>
      </c>
      <c r="J527"/>
    </row>
    <row r="528" spans="1:10" ht="36" customHeight="1" hidden="1">
      <c r="A528" s="41" t="s">
        <v>574</v>
      </c>
      <c r="B528" s="56"/>
      <c r="C528" s="37" t="s">
        <v>1163</v>
      </c>
      <c r="D528" s="37" t="s">
        <v>1142</v>
      </c>
      <c r="E528" s="37" t="s">
        <v>64</v>
      </c>
      <c r="F528" s="29"/>
      <c r="G528" s="26">
        <f t="shared" si="16"/>
        <v>0</v>
      </c>
      <c r="H528" s="26">
        <f t="shared" si="16"/>
        <v>0</v>
      </c>
      <c r="I528" s="26" t="e">
        <f t="shared" si="15"/>
        <v>#DIV/0!</v>
      </c>
      <c r="J528"/>
    </row>
    <row r="529" spans="1:10" ht="40.5" customHeight="1" hidden="1">
      <c r="A529" s="41" t="s">
        <v>65</v>
      </c>
      <c r="B529" s="56"/>
      <c r="C529" s="37" t="s">
        <v>1163</v>
      </c>
      <c r="D529" s="37" t="s">
        <v>1142</v>
      </c>
      <c r="E529" s="37" t="s">
        <v>66</v>
      </c>
      <c r="F529" s="29"/>
      <c r="G529" s="26">
        <f t="shared" si="16"/>
        <v>0</v>
      </c>
      <c r="H529" s="26">
        <f t="shared" si="16"/>
        <v>0</v>
      </c>
      <c r="I529" s="26" t="e">
        <f t="shared" si="15"/>
        <v>#DIV/0!</v>
      </c>
      <c r="J529"/>
    </row>
    <row r="530" spans="1:10" ht="16.5" customHeight="1" hidden="1">
      <c r="A530" s="41" t="s">
        <v>141</v>
      </c>
      <c r="B530" s="56"/>
      <c r="C530" s="37" t="s">
        <v>1163</v>
      </c>
      <c r="D530" s="37" t="s">
        <v>1142</v>
      </c>
      <c r="E530" s="37" t="s">
        <v>66</v>
      </c>
      <c r="F530" s="29" t="s">
        <v>142</v>
      </c>
      <c r="G530" s="26"/>
      <c r="H530" s="26"/>
      <c r="I530" s="26" t="e">
        <f t="shared" si="15"/>
        <v>#DIV/0!</v>
      </c>
      <c r="J530"/>
    </row>
    <row r="531" spans="1:10" ht="19.5" customHeight="1">
      <c r="A531" s="27" t="s">
        <v>544</v>
      </c>
      <c r="B531" s="37"/>
      <c r="C531" s="37" t="s">
        <v>1163</v>
      </c>
      <c r="D531" s="37" t="s">
        <v>1142</v>
      </c>
      <c r="E531" s="37" t="s">
        <v>67</v>
      </c>
      <c r="F531" s="28"/>
      <c r="G531" s="26">
        <f>SUM(G532+G534)</f>
        <v>12418.7</v>
      </c>
      <c r="H531" s="26">
        <f>SUM(H532+H534)</f>
        <v>8208.5</v>
      </c>
      <c r="I531" s="26">
        <f t="shared" si="15"/>
        <v>66.09790074645494</v>
      </c>
      <c r="J531"/>
    </row>
    <row r="532" spans="1:10" ht="28.5" customHeight="1" hidden="1">
      <c r="A532" s="38" t="s">
        <v>68</v>
      </c>
      <c r="B532" s="37"/>
      <c r="C532" s="37" t="s">
        <v>1163</v>
      </c>
      <c r="D532" s="37" t="s">
        <v>1142</v>
      </c>
      <c r="E532" s="37" t="s">
        <v>69</v>
      </c>
      <c r="F532" s="28"/>
      <c r="G532" s="26">
        <f>SUM(G533)</f>
        <v>0</v>
      </c>
      <c r="H532" s="26">
        <f>SUM(H533)</f>
        <v>7214.3</v>
      </c>
      <c r="I532" s="26" t="e">
        <f t="shared" si="15"/>
        <v>#DIV/0!</v>
      </c>
      <c r="J532"/>
    </row>
    <row r="533" spans="1:10" ht="17.25" customHeight="1" hidden="1">
      <c r="A533" s="41" t="s">
        <v>141</v>
      </c>
      <c r="B533" s="37"/>
      <c r="C533" s="37" t="s">
        <v>1163</v>
      </c>
      <c r="D533" s="37" t="s">
        <v>1142</v>
      </c>
      <c r="E533" s="37" t="s">
        <v>69</v>
      </c>
      <c r="F533" s="28" t="s">
        <v>142</v>
      </c>
      <c r="G533" s="26"/>
      <c r="H533" s="26">
        <v>7214.3</v>
      </c>
      <c r="I533" s="26" t="e">
        <f t="shared" si="15"/>
        <v>#DIV/0!</v>
      </c>
      <c r="J533"/>
    </row>
    <row r="534" spans="1:10" ht="42" customHeight="1">
      <c r="A534" s="38" t="s">
        <v>70</v>
      </c>
      <c r="B534" s="37"/>
      <c r="C534" s="37" t="s">
        <v>1163</v>
      </c>
      <c r="D534" s="37" t="s">
        <v>1142</v>
      </c>
      <c r="E534" s="37" t="s">
        <v>71</v>
      </c>
      <c r="F534" s="28"/>
      <c r="G534" s="26">
        <f>SUM(G535:G536)</f>
        <v>12418.7</v>
      </c>
      <c r="H534" s="26">
        <f>SUM(H536)</f>
        <v>994.2</v>
      </c>
      <c r="I534" s="26">
        <f t="shared" si="15"/>
        <v>8.005668870332643</v>
      </c>
      <c r="J534"/>
    </row>
    <row r="535" spans="1:10" ht="25.5" customHeight="1">
      <c r="A535" s="289" t="s">
        <v>494</v>
      </c>
      <c r="B535" s="37"/>
      <c r="C535" s="37" t="s">
        <v>1163</v>
      </c>
      <c r="D535" s="37" t="s">
        <v>1142</v>
      </c>
      <c r="E535" s="37" t="s">
        <v>71</v>
      </c>
      <c r="F535" s="28" t="s">
        <v>142</v>
      </c>
      <c r="G535" s="26">
        <v>6989.6</v>
      </c>
      <c r="H535" s="26"/>
      <c r="I535" s="26"/>
      <c r="J535" s="183">
        <f>SUM('[1]ведомствен.2012'!G1134)</f>
        <v>6989.6</v>
      </c>
    </row>
    <row r="536" spans="1:13" ht="36" customHeight="1">
      <c r="A536" s="262" t="s">
        <v>316</v>
      </c>
      <c r="B536" s="56"/>
      <c r="C536" s="37" t="s">
        <v>1163</v>
      </c>
      <c r="D536" s="37" t="s">
        <v>1142</v>
      </c>
      <c r="E536" s="37" t="s">
        <v>71</v>
      </c>
      <c r="F536" s="29" t="s">
        <v>772</v>
      </c>
      <c r="G536" s="26">
        <v>5429.1</v>
      </c>
      <c r="H536" s="26">
        <v>994.2</v>
      </c>
      <c r="I536" s="26">
        <f t="shared" si="15"/>
        <v>18.312427474166988</v>
      </c>
      <c r="J536" s="183">
        <f>SUM('[1]ведомствен.2012'!G1135)</f>
        <v>5429.1</v>
      </c>
      <c r="M536" s="183" t="e">
        <f>SUM(#REF!)</f>
        <v>#REF!</v>
      </c>
    </row>
    <row r="537" spans="1:10" ht="14.25" customHeight="1" hidden="1">
      <c r="A537" s="99" t="s">
        <v>544</v>
      </c>
      <c r="B537" s="37"/>
      <c r="C537" s="37" t="s">
        <v>1163</v>
      </c>
      <c r="D537" s="37" t="s">
        <v>1142</v>
      </c>
      <c r="E537" s="37" t="s">
        <v>67</v>
      </c>
      <c r="F537" s="28"/>
      <c r="G537" s="26">
        <f>SUM(G538)</f>
        <v>0</v>
      </c>
      <c r="H537" s="26">
        <f>SUM(H538)</f>
        <v>0</v>
      </c>
      <c r="I537" s="26" t="e">
        <f t="shared" si="15"/>
        <v>#DIV/0!</v>
      </c>
      <c r="J537"/>
    </row>
    <row r="538" spans="1:10" ht="17.25" customHeight="1" hidden="1">
      <c r="A538" s="268" t="s">
        <v>72</v>
      </c>
      <c r="B538" s="37"/>
      <c r="C538" s="37" t="s">
        <v>1163</v>
      </c>
      <c r="D538" s="37" t="s">
        <v>1142</v>
      </c>
      <c r="E538" s="37" t="s">
        <v>67</v>
      </c>
      <c r="F538" s="28" t="s">
        <v>73</v>
      </c>
      <c r="G538" s="26"/>
      <c r="H538" s="26"/>
      <c r="I538" s="26" t="e">
        <f aca="true" t="shared" si="17" ref="I538:I601">SUM(H538/G538*100)</f>
        <v>#DIV/0!</v>
      </c>
      <c r="J538"/>
    </row>
    <row r="539" spans="1:10" ht="17.25" customHeight="1" hidden="1">
      <c r="A539" s="27" t="s">
        <v>638</v>
      </c>
      <c r="B539" s="37"/>
      <c r="C539" s="37" t="s">
        <v>1163</v>
      </c>
      <c r="D539" s="37" t="s">
        <v>1142</v>
      </c>
      <c r="E539" s="37" t="s">
        <v>639</v>
      </c>
      <c r="F539" s="28"/>
      <c r="G539" s="26">
        <f>SUM(G540)</f>
        <v>0</v>
      </c>
      <c r="H539" s="26">
        <f>SUM(H540)</f>
        <v>0</v>
      </c>
      <c r="I539" s="26" t="e">
        <f t="shared" si="17"/>
        <v>#DIV/0!</v>
      </c>
      <c r="J539"/>
    </row>
    <row r="540" spans="1:10" ht="17.25" customHeight="1" hidden="1">
      <c r="A540" s="41" t="s">
        <v>74</v>
      </c>
      <c r="B540" s="37"/>
      <c r="C540" s="37" t="s">
        <v>1163</v>
      </c>
      <c r="D540" s="37" t="s">
        <v>1142</v>
      </c>
      <c r="E540" s="37" t="s">
        <v>639</v>
      </c>
      <c r="F540" s="28" t="s">
        <v>75</v>
      </c>
      <c r="G540" s="26"/>
      <c r="H540" s="26"/>
      <c r="I540" s="26" t="e">
        <f t="shared" si="17"/>
        <v>#DIV/0!</v>
      </c>
      <c r="J540"/>
    </row>
    <row r="541" spans="1:10" ht="15">
      <c r="A541" s="27" t="s">
        <v>1164</v>
      </c>
      <c r="B541" s="30"/>
      <c r="C541" s="24" t="s">
        <v>1163</v>
      </c>
      <c r="D541" s="24" t="s">
        <v>1163</v>
      </c>
      <c r="E541" s="24"/>
      <c r="F541" s="25"/>
      <c r="G541" s="26">
        <f>SUM(G546+G556+G564+G542)</f>
        <v>5716.1</v>
      </c>
      <c r="H541" s="26">
        <f>SUM(H546+H556+H564+H542)</f>
        <v>31018</v>
      </c>
      <c r="I541" s="26">
        <f t="shared" si="17"/>
        <v>542.6427109392768</v>
      </c>
      <c r="J541"/>
    </row>
    <row r="542" spans="1:10" ht="15" hidden="1">
      <c r="A542" s="35" t="s">
        <v>660</v>
      </c>
      <c r="B542" s="23"/>
      <c r="C542" s="24" t="s">
        <v>1163</v>
      </c>
      <c r="D542" s="24" t="s">
        <v>1163</v>
      </c>
      <c r="E542" s="24" t="s">
        <v>662</v>
      </c>
      <c r="F542" s="25"/>
      <c r="G542" s="26">
        <f>SUM(G543)</f>
        <v>0</v>
      </c>
      <c r="H542" s="26">
        <f>SUM(H543)</f>
        <v>1563.8</v>
      </c>
      <c r="I542" s="26" t="e">
        <f t="shared" si="17"/>
        <v>#DIV/0!</v>
      </c>
      <c r="J542"/>
    </row>
    <row r="543" spans="1:10" ht="15" hidden="1">
      <c r="A543" s="35" t="s">
        <v>638</v>
      </c>
      <c r="B543" s="23"/>
      <c r="C543" s="24" t="s">
        <v>1163</v>
      </c>
      <c r="D543" s="24" t="s">
        <v>1163</v>
      </c>
      <c r="E543" s="24" t="s">
        <v>639</v>
      </c>
      <c r="F543" s="25"/>
      <c r="G543" s="26">
        <f>SUM(G544+G545)</f>
        <v>0</v>
      </c>
      <c r="H543" s="26">
        <f>SUM(H544+H545)</f>
        <v>1563.8</v>
      </c>
      <c r="I543" s="26" t="e">
        <f t="shared" si="17"/>
        <v>#DIV/0!</v>
      </c>
      <c r="J543"/>
    </row>
    <row r="544" spans="1:10" ht="15" hidden="1">
      <c r="A544" s="41" t="s">
        <v>141</v>
      </c>
      <c r="B544" s="36"/>
      <c r="C544" s="24" t="s">
        <v>1163</v>
      </c>
      <c r="D544" s="24" t="s">
        <v>1163</v>
      </c>
      <c r="E544" s="24" t="s">
        <v>639</v>
      </c>
      <c r="F544" s="28" t="s">
        <v>142</v>
      </c>
      <c r="G544" s="26"/>
      <c r="H544" s="26">
        <v>964</v>
      </c>
      <c r="I544" s="26" t="e">
        <f t="shared" si="17"/>
        <v>#DIV/0!</v>
      </c>
      <c r="J544"/>
    </row>
    <row r="545" spans="1:10" ht="15" hidden="1">
      <c r="A545" s="41" t="s">
        <v>74</v>
      </c>
      <c r="B545" s="36"/>
      <c r="C545" s="24" t="s">
        <v>1163</v>
      </c>
      <c r="D545" s="24" t="s">
        <v>1163</v>
      </c>
      <c r="E545" s="24" t="s">
        <v>639</v>
      </c>
      <c r="F545" s="28" t="s">
        <v>75</v>
      </c>
      <c r="G545" s="26"/>
      <c r="H545" s="26">
        <v>599.8</v>
      </c>
      <c r="I545" s="26" t="e">
        <f t="shared" si="17"/>
        <v>#DIV/0!</v>
      </c>
      <c r="J545"/>
    </row>
    <row r="546" spans="1:10" ht="15">
      <c r="A546" s="262" t="s">
        <v>76</v>
      </c>
      <c r="B546" s="36"/>
      <c r="C546" s="37" t="s">
        <v>1163</v>
      </c>
      <c r="D546" s="37" t="s">
        <v>1163</v>
      </c>
      <c r="E546" s="37" t="s">
        <v>77</v>
      </c>
      <c r="F546" s="28"/>
      <c r="G546" s="26">
        <f>SUM(G547+G554+G552)</f>
        <v>1916.1</v>
      </c>
      <c r="H546" s="26">
        <f>SUM(H547+H554+H552)</f>
        <v>1812.7999999999997</v>
      </c>
      <c r="I546" s="26">
        <f t="shared" si="17"/>
        <v>94.60884087469339</v>
      </c>
      <c r="J546"/>
    </row>
    <row r="547" spans="1:10" ht="18" customHeight="1" hidden="1">
      <c r="A547" s="262" t="s">
        <v>78</v>
      </c>
      <c r="B547" s="37"/>
      <c r="C547" s="37" t="s">
        <v>1163</v>
      </c>
      <c r="D547" s="37" t="s">
        <v>1163</v>
      </c>
      <c r="E547" s="37" t="s">
        <v>79</v>
      </c>
      <c r="F547" s="28"/>
      <c r="G547" s="26">
        <f>SUM(G548:G550)</f>
        <v>0</v>
      </c>
      <c r="H547" s="26">
        <f>SUM(H548:H550)</f>
        <v>341.9</v>
      </c>
      <c r="I547" s="26" t="e">
        <f t="shared" si="17"/>
        <v>#DIV/0!</v>
      </c>
      <c r="J547"/>
    </row>
    <row r="548" spans="1:13" ht="15" customHeight="1" hidden="1">
      <c r="A548" s="41" t="s">
        <v>494</v>
      </c>
      <c r="B548" s="36"/>
      <c r="C548" s="37" t="s">
        <v>1163</v>
      </c>
      <c r="D548" s="37" t="s">
        <v>1163</v>
      </c>
      <c r="E548" s="37" t="s">
        <v>79</v>
      </c>
      <c r="F548" s="28" t="s">
        <v>142</v>
      </c>
      <c r="G548" s="26">
        <f>1393.8-1393.8</f>
        <v>0</v>
      </c>
      <c r="H548" s="26">
        <v>341.9</v>
      </c>
      <c r="I548" s="26" t="e">
        <f t="shared" si="17"/>
        <v>#DIV/0!</v>
      </c>
      <c r="M548" s="180" t="e">
        <f>SUM(#REF!+#REF!)</f>
        <v>#REF!</v>
      </c>
    </row>
    <row r="549" spans="1:10" ht="21" customHeight="1" hidden="1">
      <c r="A549" s="27" t="s">
        <v>1147</v>
      </c>
      <c r="B549" s="30"/>
      <c r="C549" s="37" t="s">
        <v>1163</v>
      </c>
      <c r="D549" s="37" t="s">
        <v>1163</v>
      </c>
      <c r="E549" s="37" t="s">
        <v>79</v>
      </c>
      <c r="F549" s="25" t="s">
        <v>1148</v>
      </c>
      <c r="G549" s="26"/>
      <c r="H549" s="26"/>
      <c r="I549" s="26" t="e">
        <f t="shared" si="17"/>
        <v>#DIV/0!</v>
      </c>
      <c r="J549"/>
    </row>
    <row r="550" spans="1:10" ht="17.25" customHeight="1" hidden="1">
      <c r="A550" s="35" t="s">
        <v>139</v>
      </c>
      <c r="B550" s="36"/>
      <c r="C550" s="37" t="s">
        <v>1163</v>
      </c>
      <c r="D550" s="37" t="s">
        <v>1163</v>
      </c>
      <c r="E550" s="37" t="s">
        <v>80</v>
      </c>
      <c r="F550" s="28"/>
      <c r="G550" s="26">
        <f>SUM(G551)</f>
        <v>0</v>
      </c>
      <c r="H550" s="26">
        <f>SUM(H551)</f>
        <v>0</v>
      </c>
      <c r="I550" s="26" t="e">
        <f t="shared" si="17"/>
        <v>#DIV/0!</v>
      </c>
      <c r="J550"/>
    </row>
    <row r="551" spans="1:10" ht="17.25" customHeight="1" hidden="1">
      <c r="A551" s="41" t="s">
        <v>141</v>
      </c>
      <c r="B551" s="36"/>
      <c r="C551" s="37" t="s">
        <v>1163</v>
      </c>
      <c r="D551" s="37" t="s">
        <v>1163</v>
      </c>
      <c r="E551" s="37" t="s">
        <v>80</v>
      </c>
      <c r="F551" s="28" t="s">
        <v>142</v>
      </c>
      <c r="G551" s="26"/>
      <c r="H551" s="26"/>
      <c r="I551" s="26" t="e">
        <f t="shared" si="17"/>
        <v>#DIV/0!</v>
      </c>
      <c r="J551"/>
    </row>
    <row r="552" spans="1:10" ht="54.75" customHeight="1" hidden="1">
      <c r="A552" s="41" t="s">
        <v>81</v>
      </c>
      <c r="B552" s="36"/>
      <c r="C552" s="37" t="s">
        <v>1163</v>
      </c>
      <c r="D552" s="37" t="s">
        <v>1163</v>
      </c>
      <c r="E552" s="37" t="s">
        <v>82</v>
      </c>
      <c r="F552" s="28"/>
      <c r="G552" s="26">
        <f>SUM(G553)</f>
        <v>0</v>
      </c>
      <c r="H552" s="26">
        <f>SUM(H553)</f>
        <v>444.6</v>
      </c>
      <c r="I552" s="26" t="e">
        <f t="shared" si="17"/>
        <v>#DIV/0!</v>
      </c>
      <c r="J552"/>
    </row>
    <row r="553" spans="1:10" ht="17.25" customHeight="1" hidden="1">
      <c r="A553" s="41" t="s">
        <v>141</v>
      </c>
      <c r="B553" s="36"/>
      <c r="C553" s="37" t="s">
        <v>1163</v>
      </c>
      <c r="D553" s="37" t="s">
        <v>1163</v>
      </c>
      <c r="E553" s="37" t="s">
        <v>82</v>
      </c>
      <c r="F553" s="28" t="s">
        <v>142</v>
      </c>
      <c r="G553" s="26"/>
      <c r="H553" s="26">
        <v>444.6</v>
      </c>
      <c r="I553" s="26" t="e">
        <f t="shared" si="17"/>
        <v>#DIV/0!</v>
      </c>
      <c r="J553"/>
    </row>
    <row r="554" spans="1:10" ht="35.25" customHeight="1">
      <c r="A554" s="27" t="s">
        <v>493</v>
      </c>
      <c r="B554" s="36"/>
      <c r="C554" s="37" t="s">
        <v>1163</v>
      </c>
      <c r="D554" s="37" t="s">
        <v>1163</v>
      </c>
      <c r="E554" s="37" t="s">
        <v>83</v>
      </c>
      <c r="F554" s="28"/>
      <c r="G554" s="26">
        <f>SUM(G555)</f>
        <v>1916.1</v>
      </c>
      <c r="H554" s="26">
        <f>SUM(H555)</f>
        <v>1026.3</v>
      </c>
      <c r="I554" s="26">
        <f t="shared" si="17"/>
        <v>53.561922655393765</v>
      </c>
      <c r="J554"/>
    </row>
    <row r="555" spans="1:13" ht="18.75" customHeight="1">
      <c r="A555" s="41" t="s">
        <v>494</v>
      </c>
      <c r="B555" s="36"/>
      <c r="C555" s="37" t="s">
        <v>1163</v>
      </c>
      <c r="D555" s="37" t="s">
        <v>1163</v>
      </c>
      <c r="E555" s="37" t="s">
        <v>83</v>
      </c>
      <c r="F555" s="28" t="s">
        <v>142</v>
      </c>
      <c r="G555" s="26">
        <v>1916.1</v>
      </c>
      <c r="H555" s="26">
        <v>1026.3</v>
      </c>
      <c r="I555" s="26">
        <f t="shared" si="17"/>
        <v>53.561922655393765</v>
      </c>
      <c r="J555" s="180">
        <f>SUM('[1]ведомствен.2012'!G974)+'[1]ведомствен.2012'!G689</f>
        <v>1916.1</v>
      </c>
      <c r="M555" s="180" t="e">
        <f>SUM(#REF!+#REF!)</f>
        <v>#REF!</v>
      </c>
    </row>
    <row r="556" spans="1:10" ht="28.5">
      <c r="A556" s="38" t="s">
        <v>84</v>
      </c>
      <c r="B556" s="30"/>
      <c r="C556" s="24" t="s">
        <v>1163</v>
      </c>
      <c r="D556" s="24" t="s">
        <v>1163</v>
      </c>
      <c r="E556" s="24" t="s">
        <v>1166</v>
      </c>
      <c r="F556" s="25"/>
      <c r="G556" s="26">
        <f>SUM(G558)</f>
        <v>3800</v>
      </c>
      <c r="H556" s="26">
        <f>SUM(H558)</f>
        <v>27641.4</v>
      </c>
      <c r="I556" s="26">
        <f t="shared" si="17"/>
        <v>727.4052631578948</v>
      </c>
      <c r="J556"/>
    </row>
    <row r="557" spans="1:10" ht="42.75">
      <c r="A557" s="304" t="s">
        <v>787</v>
      </c>
      <c r="B557" s="306"/>
      <c r="C557" s="37" t="s">
        <v>1163</v>
      </c>
      <c r="D557" s="37" t="s">
        <v>1163</v>
      </c>
      <c r="E557" s="37" t="s">
        <v>788</v>
      </c>
      <c r="F557" s="28"/>
      <c r="G557" s="26">
        <f>SUM(G558)</f>
        <v>3800</v>
      </c>
      <c r="H557" s="26"/>
      <c r="I557" s="26"/>
      <c r="J557"/>
    </row>
    <row r="558" spans="1:10" ht="57">
      <c r="A558" s="304" t="s">
        <v>789</v>
      </c>
      <c r="B558" s="306"/>
      <c r="C558" s="37" t="s">
        <v>1163</v>
      </c>
      <c r="D558" s="37" t="s">
        <v>1163</v>
      </c>
      <c r="E558" s="37" t="s">
        <v>790</v>
      </c>
      <c r="F558" s="28"/>
      <c r="G558" s="26">
        <f>SUM(G559)</f>
        <v>3800</v>
      </c>
      <c r="H558" s="26">
        <f>SUM(H559+H560+H562)</f>
        <v>27641.4</v>
      </c>
      <c r="I558" s="26">
        <f t="shared" si="17"/>
        <v>727.4052631578948</v>
      </c>
      <c r="J558"/>
    </row>
    <row r="559" spans="1:13" ht="17.25" customHeight="1">
      <c r="A559" s="289" t="s">
        <v>494</v>
      </c>
      <c r="B559" s="306"/>
      <c r="C559" s="37" t="s">
        <v>1163</v>
      </c>
      <c r="D559" s="37" t="s">
        <v>1163</v>
      </c>
      <c r="E559" s="37" t="s">
        <v>790</v>
      </c>
      <c r="F559" s="28" t="s">
        <v>142</v>
      </c>
      <c r="G559" s="26">
        <v>3800</v>
      </c>
      <c r="H559" s="26">
        <v>2956.6</v>
      </c>
      <c r="I559" s="26">
        <f t="shared" si="17"/>
        <v>77.80526315789473</v>
      </c>
      <c r="J559" s="180">
        <f>SUM('[1]ведомствен.2012'!G1153)</f>
        <v>3800</v>
      </c>
      <c r="M559" s="180" t="e">
        <f>SUM(#REF!+#REF!)</f>
        <v>#REF!</v>
      </c>
    </row>
    <row r="560" spans="1:10" ht="75" customHeight="1" hidden="1">
      <c r="A560" s="41" t="s">
        <v>850</v>
      </c>
      <c r="B560" s="56"/>
      <c r="C560" s="24" t="s">
        <v>1163</v>
      </c>
      <c r="D560" s="24" t="s">
        <v>1163</v>
      </c>
      <c r="E560" s="37" t="s">
        <v>87</v>
      </c>
      <c r="F560" s="29"/>
      <c r="G560" s="26">
        <f>SUM(G561)</f>
        <v>0</v>
      </c>
      <c r="H560" s="26">
        <f>SUM(H561)</f>
        <v>6986.3</v>
      </c>
      <c r="I560" s="26" t="e">
        <f t="shared" si="17"/>
        <v>#DIV/0!</v>
      </c>
      <c r="J560"/>
    </row>
    <row r="561" spans="1:10" ht="17.25" customHeight="1" hidden="1">
      <c r="A561" s="41" t="s">
        <v>852</v>
      </c>
      <c r="B561" s="56"/>
      <c r="C561" s="24" t="s">
        <v>1163</v>
      </c>
      <c r="D561" s="24" t="s">
        <v>1163</v>
      </c>
      <c r="E561" s="37" t="s">
        <v>87</v>
      </c>
      <c r="F561" s="29" t="s">
        <v>853</v>
      </c>
      <c r="G561" s="26"/>
      <c r="H561" s="26">
        <v>6986.3</v>
      </c>
      <c r="I561" s="26" t="e">
        <f t="shared" si="17"/>
        <v>#DIV/0!</v>
      </c>
      <c r="J561"/>
    </row>
    <row r="562" spans="1:10" ht="58.5" customHeight="1" hidden="1">
      <c r="A562" s="41" t="s">
        <v>88</v>
      </c>
      <c r="B562" s="30"/>
      <c r="C562" s="37" t="s">
        <v>1163</v>
      </c>
      <c r="D562" s="24" t="s">
        <v>1163</v>
      </c>
      <c r="E562" s="37" t="s">
        <v>89</v>
      </c>
      <c r="F562" s="25"/>
      <c r="G562" s="26">
        <f>SUM(G563)</f>
        <v>0</v>
      </c>
      <c r="H562" s="26">
        <f>SUM(H563)</f>
        <v>17698.5</v>
      </c>
      <c r="I562" s="26" t="e">
        <f t="shared" si="17"/>
        <v>#DIV/0!</v>
      </c>
      <c r="J562"/>
    </row>
    <row r="563" spans="1:10" ht="17.25" customHeight="1" hidden="1">
      <c r="A563" s="41" t="s">
        <v>1001</v>
      </c>
      <c r="B563" s="30"/>
      <c r="C563" s="37" t="s">
        <v>1163</v>
      </c>
      <c r="D563" s="24" t="s">
        <v>1163</v>
      </c>
      <c r="E563" s="37" t="s">
        <v>89</v>
      </c>
      <c r="F563" s="25" t="s">
        <v>1002</v>
      </c>
      <c r="G563" s="26"/>
      <c r="H563" s="26">
        <v>17698.5</v>
      </c>
      <c r="I563" s="26" t="e">
        <f t="shared" si="17"/>
        <v>#DIV/0!</v>
      </c>
      <c r="J563"/>
    </row>
    <row r="564" spans="1:10" ht="20.25" customHeight="1" hidden="1">
      <c r="A564" s="100" t="s">
        <v>90</v>
      </c>
      <c r="B564" s="37"/>
      <c r="C564" s="37" t="s">
        <v>1163</v>
      </c>
      <c r="D564" s="24" t="s">
        <v>1163</v>
      </c>
      <c r="E564" s="37" t="s">
        <v>91</v>
      </c>
      <c r="F564" s="28"/>
      <c r="G564" s="26">
        <f aca="true" t="shared" si="18" ref="G564:H566">SUM(G565)</f>
        <v>0</v>
      </c>
      <c r="H564" s="26">
        <f t="shared" si="18"/>
        <v>0</v>
      </c>
      <c r="I564" s="26" t="e">
        <f t="shared" si="17"/>
        <v>#DIV/0!</v>
      </c>
      <c r="J564"/>
    </row>
    <row r="565" spans="1:10" ht="57" customHeight="1" hidden="1">
      <c r="A565" s="41" t="s">
        <v>92</v>
      </c>
      <c r="B565" s="30"/>
      <c r="C565" s="37" t="s">
        <v>1163</v>
      </c>
      <c r="D565" s="24" t="s">
        <v>1163</v>
      </c>
      <c r="E565" s="37" t="s">
        <v>93</v>
      </c>
      <c r="F565" s="25"/>
      <c r="G565" s="26">
        <f t="shared" si="18"/>
        <v>0</v>
      </c>
      <c r="H565" s="26">
        <f t="shared" si="18"/>
        <v>0</v>
      </c>
      <c r="I565" s="26" t="e">
        <f t="shared" si="17"/>
        <v>#DIV/0!</v>
      </c>
      <c r="J565"/>
    </row>
    <row r="566" spans="1:10" ht="43.5" customHeight="1" hidden="1">
      <c r="A566" s="41" t="s">
        <v>94</v>
      </c>
      <c r="B566" s="30"/>
      <c r="C566" s="37" t="s">
        <v>1163</v>
      </c>
      <c r="D566" s="24" t="s">
        <v>1163</v>
      </c>
      <c r="E566" s="37" t="s">
        <v>95</v>
      </c>
      <c r="F566" s="25"/>
      <c r="G566" s="26">
        <f t="shared" si="18"/>
        <v>0</v>
      </c>
      <c r="H566" s="26">
        <f t="shared" si="18"/>
        <v>0</v>
      </c>
      <c r="I566" s="26" t="e">
        <f t="shared" si="17"/>
        <v>#DIV/0!</v>
      </c>
      <c r="J566"/>
    </row>
    <row r="567" spans="1:10" ht="13.5" customHeight="1" hidden="1">
      <c r="A567" s="41" t="s">
        <v>96</v>
      </c>
      <c r="B567" s="30"/>
      <c r="C567" s="37" t="s">
        <v>1163</v>
      </c>
      <c r="D567" s="24" t="s">
        <v>1163</v>
      </c>
      <c r="E567" s="37" t="s">
        <v>95</v>
      </c>
      <c r="F567" s="25" t="s">
        <v>97</v>
      </c>
      <c r="G567" s="26"/>
      <c r="H567" s="26"/>
      <c r="I567" s="26" t="e">
        <f t="shared" si="17"/>
        <v>#DIV/0!</v>
      </c>
      <c r="J567"/>
    </row>
    <row r="568" spans="1:10" ht="15">
      <c r="A568" s="35" t="s">
        <v>98</v>
      </c>
      <c r="B568" s="23"/>
      <c r="C568" s="37" t="s">
        <v>1163</v>
      </c>
      <c r="D568" s="37" t="s">
        <v>971</v>
      </c>
      <c r="E568" s="37"/>
      <c r="F568" s="28"/>
      <c r="G568" s="26">
        <f>SUM(G572+G576+G583+G601+G569)+G599</f>
        <v>51498</v>
      </c>
      <c r="H568" s="26">
        <f>SUM(H572+H576+H583+H601+H569)</f>
        <v>39045.399999999994</v>
      </c>
      <c r="I568" s="26">
        <f t="shared" si="17"/>
        <v>75.81925511670356</v>
      </c>
      <c r="J568"/>
    </row>
    <row r="569" spans="1:9" s="39" customFormat="1" ht="28.5" customHeight="1" hidden="1">
      <c r="A569" s="262" t="s">
        <v>146</v>
      </c>
      <c r="B569" s="36"/>
      <c r="C569" s="37" t="s">
        <v>1163</v>
      </c>
      <c r="D569" s="37" t="s">
        <v>971</v>
      </c>
      <c r="E569" s="37" t="s">
        <v>1071</v>
      </c>
      <c r="F569" s="28"/>
      <c r="G569" s="26">
        <f>SUM(G570)</f>
        <v>0</v>
      </c>
      <c r="H569" s="26">
        <f>SUM(H570)</f>
        <v>0</v>
      </c>
      <c r="I569" s="26" t="e">
        <f t="shared" si="17"/>
        <v>#DIV/0!</v>
      </c>
    </row>
    <row r="570" spans="1:9" s="39" customFormat="1" ht="27.75" customHeight="1" hidden="1">
      <c r="A570" s="262" t="s">
        <v>99</v>
      </c>
      <c r="B570" s="36"/>
      <c r="C570" s="37" t="s">
        <v>1163</v>
      </c>
      <c r="D570" s="37" t="s">
        <v>971</v>
      </c>
      <c r="E570" s="37" t="s">
        <v>197</v>
      </c>
      <c r="F570" s="28"/>
      <c r="G570" s="26">
        <f>SUM(G571)</f>
        <v>0</v>
      </c>
      <c r="H570" s="26">
        <f>SUM(H571)</f>
        <v>0</v>
      </c>
      <c r="I570" s="26" t="e">
        <f t="shared" si="17"/>
        <v>#DIV/0!</v>
      </c>
    </row>
    <row r="571" spans="1:9" s="39" customFormat="1" ht="18" customHeight="1" hidden="1">
      <c r="A571" s="262" t="s">
        <v>261</v>
      </c>
      <c r="B571" s="36"/>
      <c r="C571" s="37" t="s">
        <v>1163</v>
      </c>
      <c r="D571" s="37" t="s">
        <v>971</v>
      </c>
      <c r="E571" s="37" t="s">
        <v>197</v>
      </c>
      <c r="F571" s="28" t="s">
        <v>199</v>
      </c>
      <c r="G571" s="26"/>
      <c r="H571" s="26"/>
      <c r="I571" s="26" t="e">
        <f t="shared" si="17"/>
        <v>#DIV/0!</v>
      </c>
    </row>
    <row r="572" spans="1:10" ht="15">
      <c r="A572" s="76" t="s">
        <v>540</v>
      </c>
      <c r="B572" s="66"/>
      <c r="C572" s="37" t="s">
        <v>1163</v>
      </c>
      <c r="D572" s="37" t="s">
        <v>971</v>
      </c>
      <c r="E572" s="37" t="s">
        <v>541</v>
      </c>
      <c r="F572" s="28"/>
      <c r="G572" s="26">
        <f aca="true" t="shared" si="19" ref="G572:H574">SUM(G573)</f>
        <v>4106.7</v>
      </c>
      <c r="H572" s="26">
        <f t="shared" si="19"/>
        <v>1869.7</v>
      </c>
      <c r="I572" s="26">
        <f t="shared" si="17"/>
        <v>45.528039545133566</v>
      </c>
      <c r="J572"/>
    </row>
    <row r="573" spans="1:10" ht="19.5" customHeight="1">
      <c r="A573" s="27" t="s">
        <v>100</v>
      </c>
      <c r="B573" s="66"/>
      <c r="C573" s="37" t="s">
        <v>1163</v>
      </c>
      <c r="D573" s="37" t="s">
        <v>971</v>
      </c>
      <c r="E573" s="37" t="s">
        <v>927</v>
      </c>
      <c r="F573" s="28"/>
      <c r="G573" s="26">
        <f t="shared" si="19"/>
        <v>4106.7</v>
      </c>
      <c r="H573" s="26">
        <f t="shared" si="19"/>
        <v>1869.7</v>
      </c>
      <c r="I573" s="26">
        <f t="shared" si="17"/>
        <v>45.528039545133566</v>
      </c>
      <c r="J573"/>
    </row>
    <row r="574" spans="1:10" ht="30" customHeight="1">
      <c r="A574" s="41" t="s">
        <v>913</v>
      </c>
      <c r="B574" s="66"/>
      <c r="C574" s="37" t="s">
        <v>1163</v>
      </c>
      <c r="D574" s="37" t="s">
        <v>971</v>
      </c>
      <c r="E574" s="37" t="s">
        <v>914</v>
      </c>
      <c r="F574" s="28"/>
      <c r="G574" s="26">
        <f t="shared" si="19"/>
        <v>4106.7</v>
      </c>
      <c r="H574" s="26">
        <f t="shared" si="19"/>
        <v>1869.7</v>
      </c>
      <c r="I574" s="26">
        <f t="shared" si="17"/>
        <v>45.528039545133566</v>
      </c>
      <c r="J574"/>
    </row>
    <row r="575" spans="1:13" ht="18" customHeight="1">
      <c r="A575" s="289" t="s">
        <v>494</v>
      </c>
      <c r="B575" s="66"/>
      <c r="C575" s="37" t="s">
        <v>1163</v>
      </c>
      <c r="D575" s="37" t="s">
        <v>971</v>
      </c>
      <c r="E575" s="37" t="s">
        <v>914</v>
      </c>
      <c r="F575" s="28" t="s">
        <v>142</v>
      </c>
      <c r="G575" s="26">
        <v>4106.7</v>
      </c>
      <c r="H575" s="26">
        <v>1869.7</v>
      </c>
      <c r="I575" s="26">
        <f t="shared" si="17"/>
        <v>45.528039545133566</v>
      </c>
      <c r="J575" s="180">
        <f>SUM('[1]ведомствен.2012'!G1162)</f>
        <v>4106.7</v>
      </c>
      <c r="M575" s="180" t="e">
        <f>SUM(#REF!)</f>
        <v>#REF!</v>
      </c>
    </row>
    <row r="576" spans="1:10" ht="57">
      <c r="A576" s="38" t="s">
        <v>915</v>
      </c>
      <c r="B576" s="23"/>
      <c r="C576" s="37" t="s">
        <v>1163</v>
      </c>
      <c r="D576" s="37" t="s">
        <v>971</v>
      </c>
      <c r="E576" s="37" t="s">
        <v>916</v>
      </c>
      <c r="F576" s="28"/>
      <c r="G576" s="26">
        <f>SUM(G577)</f>
        <v>32567.5</v>
      </c>
      <c r="H576" s="26">
        <f>SUM(H577)</f>
        <v>17823.6</v>
      </c>
      <c r="I576" s="26">
        <f t="shared" si="17"/>
        <v>54.728179933983256</v>
      </c>
      <c r="J576"/>
    </row>
    <row r="577" spans="1:10" ht="33" customHeight="1">
      <c r="A577" s="286" t="s">
        <v>493</v>
      </c>
      <c r="B577" s="66"/>
      <c r="C577" s="37" t="s">
        <v>1163</v>
      </c>
      <c r="D577" s="37" t="s">
        <v>971</v>
      </c>
      <c r="E577" s="37" t="s">
        <v>917</v>
      </c>
      <c r="F577" s="28"/>
      <c r="G577" s="26">
        <f>SUM(G578+G579+G581)</f>
        <v>32567.5</v>
      </c>
      <c r="H577" s="26">
        <f>SUM(H578+H579+H581)</f>
        <v>17823.6</v>
      </c>
      <c r="I577" s="26">
        <f t="shared" si="17"/>
        <v>54.728179933983256</v>
      </c>
      <c r="J577"/>
    </row>
    <row r="578" spans="1:13" ht="18" customHeight="1">
      <c r="A578" s="289" t="s">
        <v>494</v>
      </c>
      <c r="B578" s="66"/>
      <c r="C578" s="37" t="s">
        <v>1163</v>
      </c>
      <c r="D578" s="37" t="s">
        <v>971</v>
      </c>
      <c r="E578" s="37" t="s">
        <v>917</v>
      </c>
      <c r="F578" s="28" t="s">
        <v>142</v>
      </c>
      <c r="G578" s="26">
        <v>32448.4</v>
      </c>
      <c r="H578" s="26">
        <v>17823.6</v>
      </c>
      <c r="I578" s="26">
        <f t="shared" si="17"/>
        <v>54.929056594469984</v>
      </c>
      <c r="J578" s="180">
        <f>SUM('[1]ведомствен.2012'!G1165)+'[1]ведомствен.2012'!G693</f>
        <v>32448.4</v>
      </c>
      <c r="M578" s="180" t="e">
        <f>SUM(#REF!)</f>
        <v>#REF!</v>
      </c>
    </row>
    <row r="579" spans="1:10" ht="59.25" customHeight="1">
      <c r="A579" s="38" t="s">
        <v>915</v>
      </c>
      <c r="B579" s="66"/>
      <c r="C579" s="37" t="s">
        <v>1163</v>
      </c>
      <c r="D579" s="37" t="s">
        <v>971</v>
      </c>
      <c r="E579" s="37" t="s">
        <v>918</v>
      </c>
      <c r="F579" s="28"/>
      <c r="G579" s="26">
        <f>SUM(G580)</f>
        <v>119.1</v>
      </c>
      <c r="H579" s="26">
        <f>SUM(H580)</f>
        <v>0</v>
      </c>
      <c r="I579" s="26">
        <f t="shared" si="17"/>
        <v>0</v>
      </c>
      <c r="J579"/>
    </row>
    <row r="580" spans="1:13" ht="21" customHeight="1">
      <c r="A580" s="41" t="s">
        <v>494</v>
      </c>
      <c r="B580" s="66"/>
      <c r="C580" s="37" t="s">
        <v>1163</v>
      </c>
      <c r="D580" s="37" t="s">
        <v>971</v>
      </c>
      <c r="E580" s="37" t="s">
        <v>918</v>
      </c>
      <c r="F580" s="28" t="s">
        <v>142</v>
      </c>
      <c r="G580" s="26">
        <v>119.1</v>
      </c>
      <c r="H580" s="26"/>
      <c r="I580" s="26">
        <f t="shared" si="17"/>
        <v>0</v>
      </c>
      <c r="J580" s="180">
        <f>SUM('[1]ведомствен.2012'!G1167)</f>
        <v>119.1</v>
      </c>
      <c r="M580" s="180" t="e">
        <f>SUM(#REF!)</f>
        <v>#REF!</v>
      </c>
    </row>
    <row r="581" spans="1:10" ht="62.25" customHeight="1" hidden="1">
      <c r="A581" s="27" t="s">
        <v>511</v>
      </c>
      <c r="B581" s="56"/>
      <c r="C581" s="37" t="s">
        <v>1163</v>
      </c>
      <c r="D581" s="37" t="s">
        <v>971</v>
      </c>
      <c r="E581" s="37" t="s">
        <v>919</v>
      </c>
      <c r="F581" s="29"/>
      <c r="G581" s="26">
        <f>SUM(G582)</f>
        <v>0</v>
      </c>
      <c r="H581" s="26">
        <f>SUM(H582)</f>
        <v>0</v>
      </c>
      <c r="I581" s="26" t="e">
        <f t="shared" si="17"/>
        <v>#DIV/0!</v>
      </c>
      <c r="J581"/>
    </row>
    <row r="582" spans="1:10" ht="18" customHeight="1" hidden="1">
      <c r="A582" s="41" t="s">
        <v>141</v>
      </c>
      <c r="B582" s="66"/>
      <c r="C582" s="37" t="s">
        <v>1163</v>
      </c>
      <c r="D582" s="37" t="s">
        <v>971</v>
      </c>
      <c r="E582" s="37" t="s">
        <v>919</v>
      </c>
      <c r="F582" s="28" t="s">
        <v>142</v>
      </c>
      <c r="G582" s="26"/>
      <c r="H582" s="26"/>
      <c r="I582" s="26" t="e">
        <f t="shared" si="17"/>
        <v>#DIV/0!</v>
      </c>
      <c r="J582"/>
    </row>
    <row r="583" spans="1:10" ht="15.75" hidden="1">
      <c r="A583" s="27" t="s">
        <v>990</v>
      </c>
      <c r="B583" s="56"/>
      <c r="C583" s="37" t="s">
        <v>1163</v>
      </c>
      <c r="D583" s="37" t="s">
        <v>971</v>
      </c>
      <c r="E583" s="37" t="s">
        <v>991</v>
      </c>
      <c r="F583" s="29"/>
      <c r="G583" s="26">
        <f>SUM(G584+G588+G592+G586)+G590</f>
        <v>0</v>
      </c>
      <c r="H583" s="26">
        <f>SUM(H584+H588+H592+H586)+H590+H595</f>
        <v>572</v>
      </c>
      <c r="I583" s="26" t="e">
        <f t="shared" si="17"/>
        <v>#DIV/0!</v>
      </c>
      <c r="J583"/>
    </row>
    <row r="584" spans="1:10" ht="43.5" hidden="1">
      <c r="A584" s="27" t="s">
        <v>920</v>
      </c>
      <c r="B584" s="56"/>
      <c r="C584" s="37" t="s">
        <v>1163</v>
      </c>
      <c r="D584" s="37" t="s">
        <v>971</v>
      </c>
      <c r="E584" s="37" t="s">
        <v>921</v>
      </c>
      <c r="F584" s="29"/>
      <c r="G584" s="26">
        <f>SUM(G585)</f>
        <v>0</v>
      </c>
      <c r="H584" s="26">
        <f>SUM(H585)</f>
        <v>3.5</v>
      </c>
      <c r="I584" s="26"/>
      <c r="J584"/>
    </row>
    <row r="585" spans="1:10" ht="15.75" hidden="1">
      <c r="A585" s="41" t="s">
        <v>141</v>
      </c>
      <c r="B585" s="56"/>
      <c r="C585" s="37" t="s">
        <v>1163</v>
      </c>
      <c r="D585" s="37" t="s">
        <v>971</v>
      </c>
      <c r="E585" s="37" t="s">
        <v>921</v>
      </c>
      <c r="F585" s="29" t="s">
        <v>142</v>
      </c>
      <c r="G585" s="26"/>
      <c r="H585" s="26">
        <v>3.5</v>
      </c>
      <c r="I585" s="26"/>
      <c r="J585"/>
    </row>
    <row r="586" spans="1:10" ht="72" hidden="1">
      <c r="A586" s="27" t="s">
        <v>922</v>
      </c>
      <c r="B586" s="56"/>
      <c r="C586" s="37" t="s">
        <v>1163</v>
      </c>
      <c r="D586" s="37" t="s">
        <v>971</v>
      </c>
      <c r="E586" s="37" t="s">
        <v>923</v>
      </c>
      <c r="F586" s="29"/>
      <c r="G586" s="26">
        <f>SUM(G587)</f>
        <v>0</v>
      </c>
      <c r="H586" s="26">
        <f>SUM(H587)</f>
        <v>0</v>
      </c>
      <c r="I586" s="26" t="e">
        <f t="shared" si="17"/>
        <v>#DIV/0!</v>
      </c>
      <c r="J586"/>
    </row>
    <row r="587" spans="1:10" ht="29.25" hidden="1">
      <c r="A587" s="27" t="s">
        <v>574</v>
      </c>
      <c r="B587" s="56"/>
      <c r="C587" s="37" t="s">
        <v>1163</v>
      </c>
      <c r="D587" s="37" t="s">
        <v>971</v>
      </c>
      <c r="E587" s="37" t="s">
        <v>923</v>
      </c>
      <c r="F587" s="29" t="s">
        <v>924</v>
      </c>
      <c r="G587" s="26"/>
      <c r="H587" s="26"/>
      <c r="I587" s="26" t="e">
        <f t="shared" si="17"/>
        <v>#DIV/0!</v>
      </c>
      <c r="J587"/>
    </row>
    <row r="588" spans="1:10" ht="43.5" hidden="1">
      <c r="A588" s="27" t="s">
        <v>563</v>
      </c>
      <c r="B588" s="56"/>
      <c r="C588" s="37" t="s">
        <v>1163</v>
      </c>
      <c r="D588" s="37" t="s">
        <v>971</v>
      </c>
      <c r="E588" s="37" t="s">
        <v>564</v>
      </c>
      <c r="F588" s="29"/>
      <c r="G588" s="26">
        <f>SUM(G589)</f>
        <v>0</v>
      </c>
      <c r="H588" s="26">
        <f>SUM(H589)</f>
        <v>0</v>
      </c>
      <c r="I588" s="26" t="e">
        <f t="shared" si="17"/>
        <v>#DIV/0!</v>
      </c>
      <c r="J588"/>
    </row>
    <row r="589" spans="1:10" ht="15.75" hidden="1">
      <c r="A589" s="41" t="s">
        <v>141</v>
      </c>
      <c r="B589" s="56"/>
      <c r="C589" s="37" t="s">
        <v>1163</v>
      </c>
      <c r="D589" s="37" t="s">
        <v>971</v>
      </c>
      <c r="E589" s="37" t="s">
        <v>564</v>
      </c>
      <c r="F589" s="29" t="s">
        <v>142</v>
      </c>
      <c r="G589" s="26"/>
      <c r="H589" s="26"/>
      <c r="I589" s="26" t="e">
        <f t="shared" si="17"/>
        <v>#DIV/0!</v>
      </c>
      <c r="J589"/>
    </row>
    <row r="590" spans="1:10" ht="29.25" hidden="1">
      <c r="A590" s="41" t="s">
        <v>925</v>
      </c>
      <c r="B590" s="56"/>
      <c r="C590" s="37" t="s">
        <v>1163</v>
      </c>
      <c r="D590" s="37" t="s">
        <v>971</v>
      </c>
      <c r="E590" s="37" t="s">
        <v>926</v>
      </c>
      <c r="F590" s="29"/>
      <c r="G590" s="26">
        <f>SUM(G591)</f>
        <v>0</v>
      </c>
      <c r="H590" s="26">
        <f>SUM(H591)</f>
        <v>0</v>
      </c>
      <c r="I590" s="26" t="e">
        <f t="shared" si="17"/>
        <v>#DIV/0!</v>
      </c>
      <c r="J590"/>
    </row>
    <row r="591" spans="1:10" ht="29.25" hidden="1">
      <c r="A591" s="27" t="s">
        <v>574</v>
      </c>
      <c r="B591" s="56"/>
      <c r="C591" s="37" t="s">
        <v>1163</v>
      </c>
      <c r="D591" s="37" t="s">
        <v>971</v>
      </c>
      <c r="E591" s="37" t="s">
        <v>926</v>
      </c>
      <c r="F591" s="29" t="s">
        <v>924</v>
      </c>
      <c r="G591" s="26"/>
      <c r="H591" s="26"/>
      <c r="I591" s="26" t="e">
        <f t="shared" si="17"/>
        <v>#DIV/0!</v>
      </c>
      <c r="J591"/>
    </row>
    <row r="592" spans="1:10" ht="28.5" customHeight="1" hidden="1">
      <c r="A592" s="27" t="s">
        <v>212</v>
      </c>
      <c r="B592" s="56"/>
      <c r="C592" s="37" t="s">
        <v>1163</v>
      </c>
      <c r="D592" s="37" t="s">
        <v>971</v>
      </c>
      <c r="E592" s="37" t="s">
        <v>213</v>
      </c>
      <c r="F592" s="29"/>
      <c r="G592" s="26">
        <f>SUM(G593+G594+G595)</f>
        <v>0</v>
      </c>
      <c r="H592" s="26">
        <f>SUM(H593)</f>
        <v>0</v>
      </c>
      <c r="I592" s="26" t="e">
        <f t="shared" si="17"/>
        <v>#DIV/0!</v>
      </c>
      <c r="J592"/>
    </row>
    <row r="593" spans="1:10" ht="24.75" customHeight="1" hidden="1">
      <c r="A593" s="27" t="s">
        <v>214</v>
      </c>
      <c r="B593" s="56"/>
      <c r="C593" s="37" t="s">
        <v>1163</v>
      </c>
      <c r="D593" s="37" t="s">
        <v>971</v>
      </c>
      <c r="E593" s="37" t="s">
        <v>213</v>
      </c>
      <c r="F593" s="29" t="s">
        <v>556</v>
      </c>
      <c r="G593" s="26">
        <f>SUM('[2]Ведомств.'!F586)</f>
        <v>0</v>
      </c>
      <c r="H593" s="26">
        <f>SUM('[2]Ведомств.'!G586)</f>
        <v>0</v>
      </c>
      <c r="I593" s="26" t="e">
        <f t="shared" si="17"/>
        <v>#DIV/0!</v>
      </c>
      <c r="J593"/>
    </row>
    <row r="594" spans="1:10" ht="30.75" customHeight="1" hidden="1">
      <c r="A594" s="41" t="s">
        <v>966</v>
      </c>
      <c r="B594" s="56"/>
      <c r="C594" s="37" t="s">
        <v>1163</v>
      </c>
      <c r="D594" s="37" t="s">
        <v>971</v>
      </c>
      <c r="E594" s="37" t="s">
        <v>213</v>
      </c>
      <c r="F594" s="29" t="s">
        <v>556</v>
      </c>
      <c r="G594" s="26"/>
      <c r="H594" s="26"/>
      <c r="I594" s="26"/>
      <c r="J594"/>
    </row>
    <row r="595" spans="1:10" ht="87.75" customHeight="1" hidden="1">
      <c r="A595" s="100" t="s">
        <v>215</v>
      </c>
      <c r="B595" s="56"/>
      <c r="C595" s="37" t="s">
        <v>1163</v>
      </c>
      <c r="D595" s="37" t="s">
        <v>971</v>
      </c>
      <c r="E595" s="37" t="s">
        <v>216</v>
      </c>
      <c r="F595" s="29"/>
      <c r="G595" s="26">
        <f>SUM(G596)</f>
        <v>0</v>
      </c>
      <c r="H595" s="26">
        <f>SUM(H596)</f>
        <v>568.5</v>
      </c>
      <c r="I595" s="26" t="e">
        <f t="shared" si="17"/>
        <v>#DIV/0!</v>
      </c>
      <c r="J595"/>
    </row>
    <row r="596" spans="1:10" ht="15.75" hidden="1">
      <c r="A596" s="41" t="s">
        <v>141</v>
      </c>
      <c r="B596" s="56"/>
      <c r="C596" s="37" t="s">
        <v>1163</v>
      </c>
      <c r="D596" s="37" t="s">
        <v>971</v>
      </c>
      <c r="E596" s="37" t="s">
        <v>216</v>
      </c>
      <c r="F596" s="29" t="s">
        <v>142</v>
      </c>
      <c r="G596" s="26"/>
      <c r="H596" s="26">
        <v>568.5</v>
      </c>
      <c r="I596" s="26" t="e">
        <f t="shared" si="17"/>
        <v>#DIV/0!</v>
      </c>
      <c r="J596"/>
    </row>
    <row r="597" spans="1:10" ht="15.75" hidden="1">
      <c r="A597" s="41"/>
      <c r="B597" s="56"/>
      <c r="C597" s="37"/>
      <c r="D597" s="37"/>
      <c r="E597" s="37"/>
      <c r="F597" s="29"/>
      <c r="G597" s="26"/>
      <c r="H597" s="26"/>
      <c r="I597" s="26"/>
      <c r="J597"/>
    </row>
    <row r="598" spans="1:10" ht="15.75" hidden="1">
      <c r="A598" s="41"/>
      <c r="B598" s="56"/>
      <c r="C598" s="37"/>
      <c r="D598" s="37"/>
      <c r="E598" s="37"/>
      <c r="F598" s="29"/>
      <c r="G598" s="26"/>
      <c r="H598" s="26"/>
      <c r="I598" s="26"/>
      <c r="J598"/>
    </row>
    <row r="599" spans="1:10" ht="27.75" customHeight="1" hidden="1">
      <c r="A599" s="38" t="s">
        <v>758</v>
      </c>
      <c r="B599" s="23"/>
      <c r="C599" s="37" t="s">
        <v>1163</v>
      </c>
      <c r="D599" s="37" t="s">
        <v>971</v>
      </c>
      <c r="E599" s="24" t="s">
        <v>759</v>
      </c>
      <c r="F599" s="29"/>
      <c r="G599" s="26">
        <f>SUM(G600)</f>
        <v>0</v>
      </c>
      <c r="H599" s="26">
        <f>SUM(H600)</f>
        <v>0</v>
      </c>
      <c r="I599" s="26" t="e">
        <f>SUM(H599/G599*100)</f>
        <v>#DIV/0!</v>
      </c>
      <c r="J599"/>
    </row>
    <row r="600" spans="1:13" ht="16.5" customHeight="1" hidden="1">
      <c r="A600" s="41" t="s">
        <v>494</v>
      </c>
      <c r="B600" s="30"/>
      <c r="C600" s="84" t="s">
        <v>998</v>
      </c>
      <c r="D600" s="84" t="s">
        <v>642</v>
      </c>
      <c r="E600" s="24" t="s">
        <v>759</v>
      </c>
      <c r="F600" s="25" t="s">
        <v>142</v>
      </c>
      <c r="G600" s="54"/>
      <c r="H600" s="26"/>
      <c r="I600" s="26"/>
      <c r="J600"/>
      <c r="M600" t="e">
        <f>SUM(#REF!)</f>
        <v>#REF!</v>
      </c>
    </row>
    <row r="601" spans="1:9" s="102" customFormat="1" ht="18" customHeight="1">
      <c r="A601" s="268" t="s">
        <v>1186</v>
      </c>
      <c r="B601" s="101"/>
      <c r="C601" s="37" t="s">
        <v>1163</v>
      </c>
      <c r="D601" s="37" t="s">
        <v>971</v>
      </c>
      <c r="E601" s="37" t="s">
        <v>1187</v>
      </c>
      <c r="F601" s="29"/>
      <c r="G601" s="26">
        <f>SUM(G602,G604,G605,G608,G611,G616,G612)+G615</f>
        <v>14823.8</v>
      </c>
      <c r="H601" s="26">
        <f>SUM(H602)</f>
        <v>18780.1</v>
      </c>
      <c r="I601" s="26">
        <f t="shared" si="17"/>
        <v>126.68883821961981</v>
      </c>
    </row>
    <row r="602" spans="1:9" s="102" customFormat="1" ht="21.75" customHeight="1" hidden="1">
      <c r="A602" s="268" t="s">
        <v>964</v>
      </c>
      <c r="B602" s="101"/>
      <c r="C602" s="37" t="s">
        <v>1163</v>
      </c>
      <c r="D602" s="37" t="s">
        <v>971</v>
      </c>
      <c r="E602" s="37" t="s">
        <v>965</v>
      </c>
      <c r="F602" s="29"/>
      <c r="G602" s="26">
        <f>SUM(G603)</f>
        <v>0</v>
      </c>
      <c r="H602" s="26">
        <f>SUM(H604:H616)</f>
        <v>18780.1</v>
      </c>
      <c r="I602" s="26" t="e">
        <f aca="true" t="shared" si="20" ref="I602:I665">SUM(H602/G602*100)</f>
        <v>#DIV/0!</v>
      </c>
    </row>
    <row r="603" spans="1:10" ht="22.5" customHeight="1" hidden="1">
      <c r="A603" s="35" t="s">
        <v>1001</v>
      </c>
      <c r="B603" s="101"/>
      <c r="C603" s="37" t="s">
        <v>967</v>
      </c>
      <c r="D603" s="37" t="s">
        <v>971</v>
      </c>
      <c r="E603" s="37" t="s">
        <v>965</v>
      </c>
      <c r="F603" s="29" t="s">
        <v>1002</v>
      </c>
      <c r="G603" s="26"/>
      <c r="H603" s="26"/>
      <c r="I603" s="26"/>
      <c r="J603"/>
    </row>
    <row r="604" spans="1:13" s="102" customFormat="1" ht="21" customHeight="1" hidden="1">
      <c r="A604" s="267" t="s">
        <v>374</v>
      </c>
      <c r="B604" s="101"/>
      <c r="C604" s="37" t="s">
        <v>1163</v>
      </c>
      <c r="D604" s="37" t="s">
        <v>971</v>
      </c>
      <c r="E604" s="37" t="s">
        <v>608</v>
      </c>
      <c r="F604" s="29" t="s">
        <v>75</v>
      </c>
      <c r="G604" s="26"/>
      <c r="H604" s="26">
        <v>179.9</v>
      </c>
      <c r="I604" s="26" t="e">
        <f t="shared" si="20"/>
        <v>#DIV/0!</v>
      </c>
      <c r="J604" s="180"/>
      <c r="M604" s="180" t="e">
        <f>SUM(#REF!+#REF!)</f>
        <v>#REF!</v>
      </c>
    </row>
    <row r="605" spans="1:13" ht="18.75" customHeight="1">
      <c r="A605" s="267" t="s">
        <v>609</v>
      </c>
      <c r="B605" s="23"/>
      <c r="C605" s="37" t="s">
        <v>1163</v>
      </c>
      <c r="D605" s="37" t="s">
        <v>971</v>
      </c>
      <c r="E605" s="37" t="s">
        <v>610</v>
      </c>
      <c r="F605" s="29"/>
      <c r="G605" s="54">
        <f>SUM(G606:G607)</f>
        <v>3300</v>
      </c>
      <c r="H605" s="54">
        <v>14959.3</v>
      </c>
      <c r="I605" s="26">
        <f t="shared" si="20"/>
        <v>453.31212121212116</v>
      </c>
      <c r="M605" s="180" t="e">
        <f>SUM(#REF!)</f>
        <v>#REF!</v>
      </c>
    </row>
    <row r="606" spans="1:10" ht="17.25" customHeight="1">
      <c r="A606" s="297" t="s">
        <v>74</v>
      </c>
      <c r="B606" s="23"/>
      <c r="C606" s="37" t="s">
        <v>1163</v>
      </c>
      <c r="D606" s="37" t="s">
        <v>971</v>
      </c>
      <c r="E606" s="37" t="s">
        <v>610</v>
      </c>
      <c r="F606" s="29" t="s">
        <v>75</v>
      </c>
      <c r="G606" s="54">
        <v>1630</v>
      </c>
      <c r="H606" s="54"/>
      <c r="I606" s="26"/>
      <c r="J606">
        <f>SUM('[1]ведомствен.2012'!G1192)</f>
        <v>1630</v>
      </c>
    </row>
    <row r="607" spans="1:10" ht="31.5" customHeight="1">
      <c r="A607" s="262" t="s">
        <v>316</v>
      </c>
      <c r="B607" s="56"/>
      <c r="C607" s="37" t="s">
        <v>1163</v>
      </c>
      <c r="D607" s="37" t="s">
        <v>971</v>
      </c>
      <c r="E607" s="37" t="s">
        <v>610</v>
      </c>
      <c r="F607" s="29" t="s">
        <v>772</v>
      </c>
      <c r="G607" s="26">
        <v>1670</v>
      </c>
      <c r="H607" s="54"/>
      <c r="I607" s="26"/>
      <c r="J607">
        <f>SUM('[1]ведомствен.2012'!G1193)</f>
        <v>1670</v>
      </c>
    </row>
    <row r="608" spans="1:13" ht="60" customHeight="1">
      <c r="A608" s="267" t="s">
        <v>930</v>
      </c>
      <c r="B608" s="23"/>
      <c r="C608" s="37" t="s">
        <v>1163</v>
      </c>
      <c r="D608" s="37" t="s">
        <v>971</v>
      </c>
      <c r="E608" s="37" t="s">
        <v>612</v>
      </c>
      <c r="F608" s="29"/>
      <c r="G608" s="54">
        <f>SUM(G609:G610)</f>
        <v>7500</v>
      </c>
      <c r="H608" s="54">
        <v>2979.3</v>
      </c>
      <c r="I608" s="26">
        <f t="shared" si="20"/>
        <v>39.724000000000004</v>
      </c>
      <c r="M608" s="180" t="e">
        <f>SUM(#REF!+#REF!)</f>
        <v>#REF!</v>
      </c>
    </row>
    <row r="609" spans="1:10" ht="17.25" customHeight="1">
      <c r="A609" s="297" t="s">
        <v>74</v>
      </c>
      <c r="B609" s="23"/>
      <c r="C609" s="37" t="s">
        <v>1163</v>
      </c>
      <c r="D609" s="37" t="s">
        <v>971</v>
      </c>
      <c r="E609" s="37" t="s">
        <v>612</v>
      </c>
      <c r="F609" s="29" t="s">
        <v>75</v>
      </c>
      <c r="G609" s="54">
        <v>3150</v>
      </c>
      <c r="H609" s="54"/>
      <c r="I609" s="26"/>
      <c r="J609">
        <f>SUM('[1]ведомствен.2012'!G1195)</f>
        <v>3150</v>
      </c>
    </row>
    <row r="610" spans="1:10" ht="30.75" customHeight="1">
      <c r="A610" s="262" t="s">
        <v>316</v>
      </c>
      <c r="B610" s="56"/>
      <c r="C610" s="37" t="s">
        <v>1163</v>
      </c>
      <c r="D610" s="37" t="s">
        <v>971</v>
      </c>
      <c r="E610" s="37" t="s">
        <v>612</v>
      </c>
      <c r="F610" s="29" t="s">
        <v>772</v>
      </c>
      <c r="G610" s="26">
        <v>4350</v>
      </c>
      <c r="H610" s="54"/>
      <c r="I610" s="26"/>
      <c r="J610">
        <f>SUM('[1]ведомствен.2012'!G1196)</f>
        <v>4350</v>
      </c>
    </row>
    <row r="611" spans="1:10" ht="0.75" customHeight="1" hidden="1">
      <c r="A611" s="267" t="s">
        <v>613</v>
      </c>
      <c r="B611" s="23"/>
      <c r="C611" s="37" t="s">
        <v>1163</v>
      </c>
      <c r="D611" s="37" t="s">
        <v>971</v>
      </c>
      <c r="E611" s="37" t="s">
        <v>614</v>
      </c>
      <c r="F611" s="29" t="s">
        <v>75</v>
      </c>
      <c r="G611" s="54"/>
      <c r="H611" s="54">
        <v>20.5</v>
      </c>
      <c r="I611" s="26" t="e">
        <f t="shared" si="20"/>
        <v>#DIV/0!</v>
      </c>
      <c r="J611"/>
    </row>
    <row r="612" spans="1:10" ht="30.75" customHeight="1">
      <c r="A612" s="297" t="s">
        <v>810</v>
      </c>
      <c r="B612" s="23"/>
      <c r="C612" s="37" t="s">
        <v>1163</v>
      </c>
      <c r="D612" s="37" t="s">
        <v>971</v>
      </c>
      <c r="E612" s="37" t="s">
        <v>809</v>
      </c>
      <c r="F612" s="29"/>
      <c r="G612" s="54">
        <f>SUM(G613)</f>
        <v>1393.8</v>
      </c>
      <c r="H612" s="54"/>
      <c r="I612" s="26"/>
      <c r="J612"/>
    </row>
    <row r="613" spans="1:10" ht="19.5" customHeight="1">
      <c r="A613" s="297" t="s">
        <v>74</v>
      </c>
      <c r="B613" s="23"/>
      <c r="C613" s="37" t="s">
        <v>1163</v>
      </c>
      <c r="D613" s="37" t="s">
        <v>971</v>
      </c>
      <c r="E613" s="37" t="s">
        <v>809</v>
      </c>
      <c r="F613" s="29" t="s">
        <v>75</v>
      </c>
      <c r="G613" s="54">
        <v>1393.8</v>
      </c>
      <c r="H613" s="54"/>
      <c r="I613" s="26"/>
      <c r="J613">
        <f>SUM('[1]ведомствен.2012'!G981)</f>
        <v>1393.8</v>
      </c>
    </row>
    <row r="614" spans="1:10" ht="42.75" hidden="1">
      <c r="A614" s="297" t="s">
        <v>669</v>
      </c>
      <c r="B614" s="101"/>
      <c r="C614" s="37" t="s">
        <v>1163</v>
      </c>
      <c r="D614" s="37" t="s">
        <v>971</v>
      </c>
      <c r="E614" s="37" t="s">
        <v>670</v>
      </c>
      <c r="F614" s="29"/>
      <c r="G614" s="26">
        <f>SUM(G615)</f>
        <v>0</v>
      </c>
      <c r="H614" s="26"/>
      <c r="I614" s="26"/>
      <c r="J614"/>
    </row>
    <row r="615" spans="1:10" ht="33.75" customHeight="1" hidden="1">
      <c r="A615" s="289" t="s">
        <v>316</v>
      </c>
      <c r="B615" s="56"/>
      <c r="C615" s="37" t="s">
        <v>1163</v>
      </c>
      <c r="D615" s="37" t="s">
        <v>971</v>
      </c>
      <c r="E615" s="37" t="s">
        <v>670</v>
      </c>
      <c r="F615" s="29" t="s">
        <v>772</v>
      </c>
      <c r="G615" s="26"/>
      <c r="H615" s="26"/>
      <c r="I615" s="26"/>
      <c r="J615">
        <f>SUM('[1]ведомствен.2012'!G983)</f>
        <v>0</v>
      </c>
    </row>
    <row r="616" spans="1:13" ht="18" customHeight="1">
      <c r="A616" s="267" t="s">
        <v>828</v>
      </c>
      <c r="B616" s="23"/>
      <c r="C616" s="37" t="s">
        <v>1163</v>
      </c>
      <c r="D616" s="37" t="s">
        <v>971</v>
      </c>
      <c r="E616" s="37" t="s">
        <v>615</v>
      </c>
      <c r="F616" s="29"/>
      <c r="G616" s="54">
        <f>SUM(G617:G618)</f>
        <v>2630</v>
      </c>
      <c r="H616" s="54">
        <v>641.1</v>
      </c>
      <c r="I616" s="26">
        <f t="shared" si="20"/>
        <v>24.376425855513308</v>
      </c>
      <c r="M616" s="180" t="e">
        <f>SUM(#REF!)</f>
        <v>#REF!</v>
      </c>
    </row>
    <row r="617" spans="1:13" ht="21.75" customHeight="1">
      <c r="A617" s="297" t="s">
        <v>74</v>
      </c>
      <c r="B617" s="23"/>
      <c r="C617" s="37" t="s">
        <v>1163</v>
      </c>
      <c r="D617" s="37" t="s">
        <v>971</v>
      </c>
      <c r="E617" s="37" t="s">
        <v>615</v>
      </c>
      <c r="F617" s="29" t="s">
        <v>75</v>
      </c>
      <c r="G617" s="54">
        <v>1668.2</v>
      </c>
      <c r="H617" s="54"/>
      <c r="I617" s="26"/>
      <c r="J617" s="180">
        <f>SUM('[1]ведомствен.2012'!G1198)</f>
        <v>1668.2</v>
      </c>
      <c r="M617" s="180"/>
    </row>
    <row r="618" spans="1:13" ht="28.5" customHeight="1">
      <c r="A618" s="297" t="s">
        <v>316</v>
      </c>
      <c r="B618" s="23"/>
      <c r="C618" s="37" t="s">
        <v>1163</v>
      </c>
      <c r="D618" s="37" t="s">
        <v>971</v>
      </c>
      <c r="E618" s="37" t="s">
        <v>615</v>
      </c>
      <c r="F618" s="29" t="s">
        <v>772</v>
      </c>
      <c r="G618" s="54">
        <v>961.8</v>
      </c>
      <c r="H618" s="54"/>
      <c r="I618" s="26"/>
      <c r="J618" s="180">
        <f>SUM('[1]ведомствен.2012'!G1199)</f>
        <v>961.8</v>
      </c>
      <c r="M618" s="180"/>
    </row>
    <row r="619" spans="1:9" s="22" customFormat="1" ht="15.75">
      <c r="A619" s="263" t="s">
        <v>531</v>
      </c>
      <c r="B619" s="42"/>
      <c r="C619" s="43" t="s">
        <v>1176</v>
      </c>
      <c r="D619" s="43"/>
      <c r="E619" s="43"/>
      <c r="F619" s="44"/>
      <c r="G619" s="45">
        <f>SUM(G620+G648)</f>
        <v>65752.3</v>
      </c>
      <c r="H619" s="45">
        <f>SUM(H620+H648)</f>
        <v>31684.7</v>
      </c>
      <c r="I619" s="45">
        <f t="shared" si="20"/>
        <v>48.187972131773336</v>
      </c>
    </row>
    <row r="620" spans="1:13" ht="15">
      <c r="A620" s="35" t="s">
        <v>616</v>
      </c>
      <c r="B620" s="23"/>
      <c r="C620" s="37" t="s">
        <v>1176</v>
      </c>
      <c r="D620" s="37" t="s">
        <v>1140</v>
      </c>
      <c r="E620" s="37"/>
      <c r="F620" s="28"/>
      <c r="G620" s="26">
        <f>SUM(G621+G629+G636)</f>
        <v>52612.9</v>
      </c>
      <c r="H620" s="26">
        <f>SUM(H636+H629+H625+H644)</f>
        <v>27050.9</v>
      </c>
      <c r="I620" s="26">
        <f t="shared" si="20"/>
        <v>51.41495716829903</v>
      </c>
      <c r="J620"/>
      <c r="K620">
        <f>SUM(J620:J663)</f>
        <v>65752.3</v>
      </c>
      <c r="M620" t="e">
        <f>SUM(#REF!)</f>
        <v>#REF!</v>
      </c>
    </row>
    <row r="621" spans="1:10" ht="28.5">
      <c r="A621" s="281" t="s">
        <v>1178</v>
      </c>
      <c r="B621" s="23"/>
      <c r="C621" s="37" t="s">
        <v>1176</v>
      </c>
      <c r="D621" s="37" t="s">
        <v>1140</v>
      </c>
      <c r="E621" s="37" t="s">
        <v>200</v>
      </c>
      <c r="F621" s="28"/>
      <c r="G621" s="26">
        <f>SUM(G624+G627)+G622</f>
        <v>28441.5</v>
      </c>
      <c r="H621" s="26">
        <f>SUM(H627)</f>
        <v>14679.5</v>
      </c>
      <c r="I621" s="26">
        <f>SUM(H621/G621*100)</f>
        <v>51.6129599353058</v>
      </c>
      <c r="J621"/>
    </row>
    <row r="622" spans="1:10" ht="43.5">
      <c r="A622" s="41" t="s">
        <v>631</v>
      </c>
      <c r="B622" s="56"/>
      <c r="C622" s="37" t="s">
        <v>1176</v>
      </c>
      <c r="D622" s="37" t="s">
        <v>1140</v>
      </c>
      <c r="E622" s="37" t="s">
        <v>769</v>
      </c>
      <c r="F622" s="29"/>
      <c r="G622" s="26">
        <f>SUM(G623)</f>
        <v>389.5</v>
      </c>
      <c r="H622" s="26"/>
      <c r="I622" s="26"/>
      <c r="J622"/>
    </row>
    <row r="623" spans="1:13" ht="15">
      <c r="A623" s="41" t="s">
        <v>494</v>
      </c>
      <c r="B623" s="23"/>
      <c r="C623" s="37" t="s">
        <v>1176</v>
      </c>
      <c r="D623" s="37" t="s">
        <v>1140</v>
      </c>
      <c r="E623" s="37" t="s">
        <v>769</v>
      </c>
      <c r="F623" s="28" t="s">
        <v>142</v>
      </c>
      <c r="G623" s="26">
        <v>389.5</v>
      </c>
      <c r="H623" s="26"/>
      <c r="I623" s="26"/>
      <c r="J623" s="180">
        <f>'[1]ведомствен.2012'!G1232</f>
        <v>389.5</v>
      </c>
      <c r="M623" s="180" t="e">
        <f>SUM(#REF!)</f>
        <v>#REF!</v>
      </c>
    </row>
    <row r="624" spans="1:10" ht="28.5">
      <c r="A624" s="286" t="s">
        <v>807</v>
      </c>
      <c r="B624" s="96"/>
      <c r="C624" s="37" t="s">
        <v>1176</v>
      </c>
      <c r="D624" s="37" t="s">
        <v>1140</v>
      </c>
      <c r="E624" s="37" t="s">
        <v>753</v>
      </c>
      <c r="F624" s="28"/>
      <c r="G624" s="26">
        <f>SUM(G626)</f>
        <v>16511.6</v>
      </c>
      <c r="H624" s="26"/>
      <c r="I624" s="26"/>
      <c r="J624"/>
    </row>
    <row r="625" spans="1:10" ht="28.5">
      <c r="A625" s="286" t="s">
        <v>754</v>
      </c>
      <c r="B625" s="96"/>
      <c r="C625" s="37" t="s">
        <v>1176</v>
      </c>
      <c r="D625" s="37" t="s">
        <v>1140</v>
      </c>
      <c r="E625" s="37" t="s">
        <v>755</v>
      </c>
      <c r="F625" s="28"/>
      <c r="G625" s="26">
        <f>SUM(G626)</f>
        <v>16511.6</v>
      </c>
      <c r="H625" s="26">
        <f>SUM(H626)</f>
        <v>14679.5</v>
      </c>
      <c r="I625" s="26">
        <f t="shared" si="20"/>
        <v>88.9041643450665</v>
      </c>
      <c r="J625"/>
    </row>
    <row r="626" spans="1:13" ht="48" customHeight="1">
      <c r="A626" s="289" t="s">
        <v>315</v>
      </c>
      <c r="B626" s="56"/>
      <c r="C626" s="37" t="s">
        <v>1176</v>
      </c>
      <c r="D626" s="37" t="s">
        <v>1140</v>
      </c>
      <c r="E626" s="37" t="s">
        <v>755</v>
      </c>
      <c r="F626" s="29" t="s">
        <v>496</v>
      </c>
      <c r="G626" s="26">
        <v>16511.6</v>
      </c>
      <c r="H626" s="26">
        <f>SUM(H627:H628)</f>
        <v>14679.5</v>
      </c>
      <c r="I626" s="26">
        <f t="shared" si="20"/>
        <v>88.9041643450665</v>
      </c>
      <c r="J626" s="180">
        <f>'[1]ведомствен.2012'!G1235</f>
        <v>16511.6</v>
      </c>
      <c r="M626" s="180" t="e">
        <f>SUM(#REF!)</f>
        <v>#REF!</v>
      </c>
    </row>
    <row r="627" spans="1:13" ht="27.75" customHeight="1">
      <c r="A627" s="27" t="s">
        <v>493</v>
      </c>
      <c r="B627" s="36"/>
      <c r="C627" s="37" t="s">
        <v>1176</v>
      </c>
      <c r="D627" s="37" t="s">
        <v>1140</v>
      </c>
      <c r="E627" s="37" t="s">
        <v>201</v>
      </c>
      <c r="F627" s="28"/>
      <c r="G627" s="26">
        <f>SUM(G628:G628)</f>
        <v>11540.4</v>
      </c>
      <c r="H627" s="26">
        <v>14679.5</v>
      </c>
      <c r="I627" s="26">
        <f t="shared" si="20"/>
        <v>127.20096357145334</v>
      </c>
      <c r="M627" s="180"/>
    </row>
    <row r="628" spans="1:13" ht="18" customHeight="1">
      <c r="A628" s="41" t="s">
        <v>494</v>
      </c>
      <c r="B628" s="36"/>
      <c r="C628" s="37" t="s">
        <v>1176</v>
      </c>
      <c r="D628" s="37" t="s">
        <v>1140</v>
      </c>
      <c r="E628" s="37" t="s">
        <v>201</v>
      </c>
      <c r="F628" s="28" t="s">
        <v>142</v>
      </c>
      <c r="G628" s="26">
        <v>11540.4</v>
      </c>
      <c r="H628" s="26"/>
      <c r="I628" s="26">
        <f t="shared" si="20"/>
        <v>0</v>
      </c>
      <c r="J628" s="180">
        <f>'[1]ведомствен.2012'!G1237+'[1]ведомствен.2012'!G704</f>
        <v>11540.400000000001</v>
      </c>
      <c r="M628" s="180" t="e">
        <f>SUM(#REF!)</f>
        <v>#REF!</v>
      </c>
    </row>
    <row r="629" spans="1:10" ht="15">
      <c r="A629" s="35" t="s">
        <v>620</v>
      </c>
      <c r="B629" s="23"/>
      <c r="C629" s="37" t="s">
        <v>1176</v>
      </c>
      <c r="D629" s="37" t="s">
        <v>1140</v>
      </c>
      <c r="E629" s="37" t="s">
        <v>621</v>
      </c>
      <c r="F629" s="28"/>
      <c r="G629" s="26">
        <f>SUM(G630)+G633</f>
        <v>3502.8999999999996</v>
      </c>
      <c r="H629" s="26">
        <f>SUM(H630)</f>
        <v>2102.5</v>
      </c>
      <c r="I629" s="26">
        <f t="shared" si="20"/>
        <v>60.021696308772746</v>
      </c>
      <c r="J629"/>
    </row>
    <row r="630" spans="1:10" ht="34.5" customHeight="1">
      <c r="A630" s="286" t="s">
        <v>807</v>
      </c>
      <c r="B630" s="96"/>
      <c r="C630" s="37" t="s">
        <v>1176</v>
      </c>
      <c r="D630" s="37" t="s">
        <v>1140</v>
      </c>
      <c r="E630" s="37" t="s">
        <v>770</v>
      </c>
      <c r="F630" s="28"/>
      <c r="G630" s="26">
        <f>SUM(G632)</f>
        <v>3447.7</v>
      </c>
      <c r="H630" s="26">
        <f>SUM(H632)+H634</f>
        <v>2102.5</v>
      </c>
      <c r="I630" s="26">
        <f t="shared" si="20"/>
        <v>60.982684108246076</v>
      </c>
      <c r="J630"/>
    </row>
    <row r="631" spans="1:10" ht="37.5" customHeight="1">
      <c r="A631" s="286" t="s">
        <v>754</v>
      </c>
      <c r="B631" s="96"/>
      <c r="C631" s="37" t="s">
        <v>1176</v>
      </c>
      <c r="D631" s="37" t="s">
        <v>1140</v>
      </c>
      <c r="E631" s="37" t="s">
        <v>771</v>
      </c>
      <c r="F631" s="28"/>
      <c r="G631" s="26">
        <f>SUM(G632)</f>
        <v>3447.7</v>
      </c>
      <c r="H631" s="26"/>
      <c r="I631" s="26"/>
      <c r="J631"/>
    </row>
    <row r="632" spans="1:13" ht="48" customHeight="1">
      <c r="A632" s="286" t="s">
        <v>1017</v>
      </c>
      <c r="B632" s="56"/>
      <c r="C632" s="37" t="s">
        <v>1176</v>
      </c>
      <c r="D632" s="37" t="s">
        <v>1140</v>
      </c>
      <c r="E632" s="37" t="s">
        <v>771</v>
      </c>
      <c r="F632" s="29" t="s">
        <v>496</v>
      </c>
      <c r="G632" s="26">
        <v>3447.7</v>
      </c>
      <c r="H632" s="26">
        <v>2102.5</v>
      </c>
      <c r="I632" s="26">
        <f t="shared" si="20"/>
        <v>60.982684108246076</v>
      </c>
      <c r="J632" s="180">
        <f>'[1]ведомствен.2012'!G1241</f>
        <v>3447.7</v>
      </c>
      <c r="M632" s="180" t="e">
        <f>SUM(#REF!)</f>
        <v>#REF!</v>
      </c>
    </row>
    <row r="633" spans="1:13" ht="27.75" customHeight="1">
      <c r="A633" s="27" t="s">
        <v>493</v>
      </c>
      <c r="B633" s="36"/>
      <c r="C633" s="37" t="s">
        <v>1176</v>
      </c>
      <c r="D633" s="37" t="s">
        <v>1140</v>
      </c>
      <c r="E633" s="37" t="s">
        <v>622</v>
      </c>
      <c r="F633" s="28"/>
      <c r="G633" s="26">
        <f>SUM(G634:G634)</f>
        <v>55.2</v>
      </c>
      <c r="H633" s="26">
        <v>14679.5</v>
      </c>
      <c r="I633" s="26">
        <f>SUM(H633/G633*100)</f>
        <v>26593.297101449276</v>
      </c>
      <c r="M633" s="180"/>
    </row>
    <row r="634" spans="1:13" ht="18" customHeight="1">
      <c r="A634" s="41" t="s">
        <v>494</v>
      </c>
      <c r="B634" s="36"/>
      <c r="C634" s="37" t="s">
        <v>1176</v>
      </c>
      <c r="D634" s="37" t="s">
        <v>1140</v>
      </c>
      <c r="E634" s="37" t="s">
        <v>622</v>
      </c>
      <c r="F634" s="28" t="s">
        <v>142</v>
      </c>
      <c r="G634" s="26">
        <v>55.2</v>
      </c>
      <c r="H634" s="26"/>
      <c r="I634" s="26">
        <f>SUM(H634/G634*100)</f>
        <v>0</v>
      </c>
      <c r="J634" s="180">
        <f>SUM('[1]ведомствен.2012'!G707)</f>
        <v>55.2</v>
      </c>
      <c r="M634" s="180" t="e">
        <f>SUM(#REF!)</f>
        <v>#REF!</v>
      </c>
    </row>
    <row r="635" spans="1:10" ht="15" customHeight="1" hidden="1">
      <c r="A635" s="41" t="s">
        <v>141</v>
      </c>
      <c r="B635" s="56"/>
      <c r="C635" s="37" t="s">
        <v>1176</v>
      </c>
      <c r="D635" s="37" t="s">
        <v>1140</v>
      </c>
      <c r="E635" s="37" t="s">
        <v>623</v>
      </c>
      <c r="F635" s="29" t="s">
        <v>142</v>
      </c>
      <c r="G635" s="26"/>
      <c r="H635" s="26"/>
      <c r="I635" s="26" t="e">
        <f t="shared" si="20"/>
        <v>#DIV/0!</v>
      </c>
      <c r="J635"/>
    </row>
    <row r="636" spans="1:10" ht="15">
      <c r="A636" s="35" t="s">
        <v>624</v>
      </c>
      <c r="B636" s="23"/>
      <c r="C636" s="37" t="s">
        <v>1176</v>
      </c>
      <c r="D636" s="37" t="s">
        <v>1140</v>
      </c>
      <c r="E636" s="37" t="s">
        <v>625</v>
      </c>
      <c r="F636" s="28"/>
      <c r="G636" s="26">
        <f>SUM(G637)</f>
        <v>20668.5</v>
      </c>
      <c r="H636" s="26">
        <f>SUM(H637)</f>
        <v>10268.9</v>
      </c>
      <c r="I636" s="26">
        <f t="shared" si="20"/>
        <v>49.68381837095096</v>
      </c>
      <c r="J636"/>
    </row>
    <row r="637" spans="1:10" ht="34.5" customHeight="1">
      <c r="A637" s="27" t="s">
        <v>493</v>
      </c>
      <c r="B637" s="96"/>
      <c r="C637" s="37" t="s">
        <v>1176</v>
      </c>
      <c r="D637" s="37" t="s">
        <v>1140</v>
      </c>
      <c r="E637" s="37" t="s">
        <v>626</v>
      </c>
      <c r="F637" s="28"/>
      <c r="G637" s="26">
        <f>SUM(G638+G640+G642)</f>
        <v>20668.5</v>
      </c>
      <c r="H637" s="26">
        <f>SUM(H638+H640+H642)</f>
        <v>10268.9</v>
      </c>
      <c r="I637" s="26">
        <f t="shared" si="20"/>
        <v>49.68381837095096</v>
      </c>
      <c r="J637"/>
    </row>
    <row r="638" spans="1:13" ht="15.75" customHeight="1">
      <c r="A638" s="41" t="s">
        <v>494</v>
      </c>
      <c r="B638" s="56"/>
      <c r="C638" s="37" t="s">
        <v>1176</v>
      </c>
      <c r="D638" s="37" t="s">
        <v>1140</v>
      </c>
      <c r="E638" s="37" t="s">
        <v>626</v>
      </c>
      <c r="F638" s="29" t="s">
        <v>142</v>
      </c>
      <c r="G638" s="26">
        <v>18585.9</v>
      </c>
      <c r="H638" s="26">
        <v>8963.8</v>
      </c>
      <c r="I638" s="26">
        <f t="shared" si="20"/>
        <v>48.22903383747894</v>
      </c>
      <c r="J638" s="180">
        <f>SUM('[1]ведомствен.2012'!G1249)+'[1]ведомствен.2012'!G710</f>
        <v>18585.9</v>
      </c>
      <c r="M638" s="180" t="e">
        <f>SUM(#REF!)</f>
        <v>#REF!</v>
      </c>
    </row>
    <row r="639" spans="1:10" ht="43.5" customHeight="1" hidden="1">
      <c r="A639" s="41" t="s">
        <v>617</v>
      </c>
      <c r="B639" s="56"/>
      <c r="C639" s="37" t="s">
        <v>1176</v>
      </c>
      <c r="D639" s="37" t="s">
        <v>1140</v>
      </c>
      <c r="E639" s="37" t="s">
        <v>626</v>
      </c>
      <c r="F639" s="29" t="s">
        <v>618</v>
      </c>
      <c r="G639" s="26"/>
      <c r="H639" s="26"/>
      <c r="I639" s="26" t="e">
        <f t="shared" si="20"/>
        <v>#DIV/0!</v>
      </c>
      <c r="J639"/>
    </row>
    <row r="640" spans="1:10" ht="57.75" customHeight="1" hidden="1">
      <c r="A640" s="27" t="s">
        <v>511</v>
      </c>
      <c r="B640" s="30"/>
      <c r="C640" s="37" t="s">
        <v>1176</v>
      </c>
      <c r="D640" s="37" t="s">
        <v>1140</v>
      </c>
      <c r="E640" s="37" t="s">
        <v>627</v>
      </c>
      <c r="F640" s="29"/>
      <c r="G640" s="26">
        <f>SUM(G641)</f>
        <v>0</v>
      </c>
      <c r="H640" s="26">
        <f>SUM(H641)</f>
        <v>0</v>
      </c>
      <c r="I640" s="26" t="e">
        <f t="shared" si="20"/>
        <v>#DIV/0!</v>
      </c>
      <c r="J640"/>
    </row>
    <row r="641" spans="1:10" ht="16.5" customHeight="1" hidden="1">
      <c r="A641" s="41" t="s">
        <v>141</v>
      </c>
      <c r="B641" s="56"/>
      <c r="C641" s="37" t="s">
        <v>1176</v>
      </c>
      <c r="D641" s="37" t="s">
        <v>1140</v>
      </c>
      <c r="E641" s="37" t="s">
        <v>627</v>
      </c>
      <c r="F641" s="29" t="s">
        <v>142</v>
      </c>
      <c r="G641" s="26"/>
      <c r="H641" s="26"/>
      <c r="I641" s="26" t="e">
        <f t="shared" si="20"/>
        <v>#DIV/0!</v>
      </c>
      <c r="J641"/>
    </row>
    <row r="642" spans="1:10" ht="47.25" customHeight="1">
      <c r="A642" s="41" t="s">
        <v>513</v>
      </c>
      <c r="B642" s="56"/>
      <c r="C642" s="37" t="s">
        <v>1176</v>
      </c>
      <c r="D642" s="37" t="s">
        <v>1140</v>
      </c>
      <c r="E642" s="37" t="s">
        <v>628</v>
      </c>
      <c r="F642" s="29"/>
      <c r="G642" s="26">
        <f>SUM(G643)</f>
        <v>2082.6</v>
      </c>
      <c r="H642" s="26">
        <f>SUM(H643)</f>
        <v>1305.1</v>
      </c>
      <c r="I642" s="26">
        <f t="shared" si="20"/>
        <v>62.66685873427447</v>
      </c>
      <c r="J642"/>
    </row>
    <row r="643" spans="1:13" ht="16.5" customHeight="1">
      <c r="A643" s="41" t="s">
        <v>494</v>
      </c>
      <c r="B643" s="56"/>
      <c r="C643" s="37" t="s">
        <v>1176</v>
      </c>
      <c r="D643" s="37" t="s">
        <v>1140</v>
      </c>
      <c r="E643" s="37" t="s">
        <v>628</v>
      </c>
      <c r="F643" s="29" t="s">
        <v>142</v>
      </c>
      <c r="G643" s="26">
        <v>2082.6</v>
      </c>
      <c r="H643" s="26">
        <v>1305.1</v>
      </c>
      <c r="I643" s="26">
        <f t="shared" si="20"/>
        <v>62.66685873427447</v>
      </c>
      <c r="J643" s="180">
        <f>SUM('[1]ведомствен.2012'!G1254)</f>
        <v>2082.6</v>
      </c>
      <c r="M643" s="180" t="e">
        <f>SUM(#REF!)</f>
        <v>#REF!</v>
      </c>
    </row>
    <row r="644" spans="1:10" ht="30" customHeight="1" hidden="1">
      <c r="A644" s="41" t="s">
        <v>629</v>
      </c>
      <c r="B644" s="56"/>
      <c r="C644" s="37" t="s">
        <v>1176</v>
      </c>
      <c r="D644" s="37" t="s">
        <v>1140</v>
      </c>
      <c r="E644" s="37" t="s">
        <v>630</v>
      </c>
      <c r="F644" s="29"/>
      <c r="G644" s="26">
        <f>SUM(G645+G646)</f>
        <v>0</v>
      </c>
      <c r="H644" s="26">
        <f>SUM(H645+H646)</f>
        <v>0</v>
      </c>
      <c r="I644" s="26" t="e">
        <f t="shared" si="20"/>
        <v>#DIV/0!</v>
      </c>
      <c r="J644"/>
    </row>
    <row r="645" spans="1:10" ht="0.75" customHeight="1" hidden="1">
      <c r="A645" s="41" t="s">
        <v>141</v>
      </c>
      <c r="B645" s="56"/>
      <c r="C645" s="37" t="s">
        <v>1176</v>
      </c>
      <c r="D645" s="37" t="s">
        <v>1140</v>
      </c>
      <c r="E645" s="37" t="s">
        <v>630</v>
      </c>
      <c r="F645" s="29" t="s">
        <v>142</v>
      </c>
      <c r="G645" s="26"/>
      <c r="H645" s="26"/>
      <c r="I645" s="26" t="e">
        <f t="shared" si="20"/>
        <v>#DIV/0!</v>
      </c>
      <c r="J645"/>
    </row>
    <row r="646" spans="1:10" ht="42" customHeight="1" hidden="1">
      <c r="A646" s="41" t="s">
        <v>631</v>
      </c>
      <c r="B646" s="56"/>
      <c r="C646" s="37" t="s">
        <v>1176</v>
      </c>
      <c r="D646" s="37" t="s">
        <v>1140</v>
      </c>
      <c r="E646" s="37" t="s">
        <v>632</v>
      </c>
      <c r="F646" s="29"/>
      <c r="G646" s="26">
        <f>SUM(G647)</f>
        <v>0</v>
      </c>
      <c r="H646" s="26">
        <f>SUM(H647)</f>
        <v>0</v>
      </c>
      <c r="I646" s="26" t="e">
        <f t="shared" si="20"/>
        <v>#DIV/0!</v>
      </c>
      <c r="J646"/>
    </row>
    <row r="647" spans="1:10" ht="21" customHeight="1" hidden="1">
      <c r="A647" s="41" t="s">
        <v>141</v>
      </c>
      <c r="B647" s="56"/>
      <c r="C647" s="37" t="s">
        <v>1176</v>
      </c>
      <c r="D647" s="37" t="s">
        <v>1140</v>
      </c>
      <c r="E647" s="37" t="s">
        <v>632</v>
      </c>
      <c r="F647" s="29" t="s">
        <v>142</v>
      </c>
      <c r="G647" s="26"/>
      <c r="H647" s="26"/>
      <c r="I647" s="26" t="e">
        <f t="shared" si="20"/>
        <v>#DIV/0!</v>
      </c>
      <c r="J647"/>
    </row>
    <row r="648" spans="1:10" ht="24" customHeight="1">
      <c r="A648" s="38" t="s">
        <v>103</v>
      </c>
      <c r="B648" s="42"/>
      <c r="C648" s="33" t="s">
        <v>1176</v>
      </c>
      <c r="D648" s="33" t="s">
        <v>1174</v>
      </c>
      <c r="E648" s="33"/>
      <c r="F648" s="103"/>
      <c r="G648" s="26">
        <f>SUM(G652+G657)+G649+G655</f>
        <v>13139.4</v>
      </c>
      <c r="H648" s="26">
        <f>SUM(H652+H657)+H649</f>
        <v>4633.8</v>
      </c>
      <c r="I648" s="26">
        <f t="shared" si="20"/>
        <v>35.266450522854925</v>
      </c>
      <c r="J648"/>
    </row>
    <row r="649" spans="1:10" ht="20.25" customHeight="1" hidden="1">
      <c r="A649" s="35" t="s">
        <v>660</v>
      </c>
      <c r="B649" s="42"/>
      <c r="C649" s="37" t="s">
        <v>1176</v>
      </c>
      <c r="D649" s="33" t="s">
        <v>1174</v>
      </c>
      <c r="E649" s="37" t="s">
        <v>662</v>
      </c>
      <c r="F649" s="103"/>
      <c r="G649" s="26">
        <f>SUM(G650)</f>
        <v>0</v>
      </c>
      <c r="H649" s="26">
        <f>SUM(H650)</f>
        <v>900</v>
      </c>
      <c r="I649" s="26" t="e">
        <f t="shared" si="20"/>
        <v>#DIV/0!</v>
      </c>
      <c r="J649"/>
    </row>
    <row r="650" spans="1:10" ht="18.75" customHeight="1" hidden="1">
      <c r="A650" s="35" t="s">
        <v>638</v>
      </c>
      <c r="B650" s="42"/>
      <c r="C650" s="37" t="s">
        <v>1176</v>
      </c>
      <c r="D650" s="33" t="s">
        <v>1174</v>
      </c>
      <c r="E650" s="37" t="s">
        <v>639</v>
      </c>
      <c r="F650" s="103"/>
      <c r="G650" s="26">
        <f>SUM(G651)</f>
        <v>0</v>
      </c>
      <c r="H650" s="26">
        <f>SUM(H651)</f>
        <v>900</v>
      </c>
      <c r="I650" s="26" t="e">
        <f t="shared" si="20"/>
        <v>#DIV/0!</v>
      </c>
      <c r="J650"/>
    </row>
    <row r="651" spans="1:10" ht="45.75" customHeight="1" hidden="1">
      <c r="A651" s="35" t="s">
        <v>829</v>
      </c>
      <c r="B651" s="42"/>
      <c r="C651" s="37" t="s">
        <v>1176</v>
      </c>
      <c r="D651" s="33" t="s">
        <v>1174</v>
      </c>
      <c r="E651" s="37" t="s">
        <v>639</v>
      </c>
      <c r="F651" s="103" t="s">
        <v>830</v>
      </c>
      <c r="G651" s="26"/>
      <c r="H651" s="26">
        <v>900</v>
      </c>
      <c r="I651" s="26" t="e">
        <f t="shared" si="20"/>
        <v>#DIV/0!</v>
      </c>
      <c r="J651"/>
    </row>
    <row r="652" spans="1:10" ht="62.25" customHeight="1">
      <c r="A652" s="38" t="s">
        <v>915</v>
      </c>
      <c r="B652" s="96"/>
      <c r="C652" s="37" t="s">
        <v>1176</v>
      </c>
      <c r="D652" s="33" t="s">
        <v>1174</v>
      </c>
      <c r="E652" s="37" t="s">
        <v>916</v>
      </c>
      <c r="F652" s="28"/>
      <c r="G652" s="26">
        <f>SUM(G653)</f>
        <v>5539.4</v>
      </c>
      <c r="H652" s="26">
        <f>SUM(H653)</f>
        <v>3733.8</v>
      </c>
      <c r="I652" s="26">
        <f t="shared" si="20"/>
        <v>67.40441203018378</v>
      </c>
      <c r="J652"/>
    </row>
    <row r="653" spans="1:10" ht="30.75" customHeight="1">
      <c r="A653" s="27" t="s">
        <v>493</v>
      </c>
      <c r="B653" s="96"/>
      <c r="C653" s="37" t="s">
        <v>1176</v>
      </c>
      <c r="D653" s="33" t="s">
        <v>1174</v>
      </c>
      <c r="E653" s="37" t="s">
        <v>917</v>
      </c>
      <c r="F653" s="28"/>
      <c r="G653" s="26">
        <f>SUM(G654)</f>
        <v>5539.4</v>
      </c>
      <c r="H653" s="26">
        <f>SUM(H654)</f>
        <v>3733.8</v>
      </c>
      <c r="I653" s="26">
        <f t="shared" si="20"/>
        <v>67.40441203018378</v>
      </c>
      <c r="J653"/>
    </row>
    <row r="654" spans="1:13" ht="16.5" customHeight="1">
      <c r="A654" s="41" t="s">
        <v>494</v>
      </c>
      <c r="B654" s="56"/>
      <c r="C654" s="37" t="s">
        <v>1176</v>
      </c>
      <c r="D654" s="33" t="s">
        <v>1174</v>
      </c>
      <c r="E654" s="37" t="s">
        <v>917</v>
      </c>
      <c r="F654" s="29" t="s">
        <v>142</v>
      </c>
      <c r="G654" s="26">
        <v>5539.4</v>
      </c>
      <c r="H654" s="26">
        <v>3733.8</v>
      </c>
      <c r="I654" s="26">
        <f t="shared" si="20"/>
        <v>67.40441203018378</v>
      </c>
      <c r="J654" s="180">
        <f>SUM('[1]ведомствен.2012'!G1265)+'[1]ведомствен.2012'!G714</f>
        <v>5539.4</v>
      </c>
      <c r="M654" s="180" t="e">
        <f>SUM(#REF!)</f>
        <v>#REF!</v>
      </c>
    </row>
    <row r="655" spans="1:10" ht="27.75" customHeight="1" hidden="1">
      <c r="A655" s="38" t="s">
        <v>758</v>
      </c>
      <c r="B655" s="23"/>
      <c r="C655" s="33" t="s">
        <v>1176</v>
      </c>
      <c r="D655" s="33" t="s">
        <v>1174</v>
      </c>
      <c r="E655" s="24" t="s">
        <v>759</v>
      </c>
      <c r="F655" s="29"/>
      <c r="G655" s="26">
        <f>SUM(G656)</f>
        <v>0</v>
      </c>
      <c r="H655" s="26">
        <f>SUM(H656)</f>
        <v>0</v>
      </c>
      <c r="I655" s="26" t="e">
        <f>SUM(H655/G655*100)</f>
        <v>#DIV/0!</v>
      </c>
      <c r="J655"/>
    </row>
    <row r="656" spans="1:13" ht="16.5" customHeight="1" hidden="1">
      <c r="A656" s="41" t="s">
        <v>494</v>
      </c>
      <c r="B656" s="30"/>
      <c r="C656" s="33" t="s">
        <v>1176</v>
      </c>
      <c r="D656" s="33" t="s">
        <v>1174</v>
      </c>
      <c r="E656" s="24" t="s">
        <v>759</v>
      </c>
      <c r="F656" s="25" t="s">
        <v>142</v>
      </c>
      <c r="G656" s="54"/>
      <c r="H656" s="26"/>
      <c r="I656" s="26"/>
      <c r="J656"/>
      <c r="M656" t="e">
        <f>SUM(#REF!)</f>
        <v>#REF!</v>
      </c>
    </row>
    <row r="657" spans="1:10" ht="15.75">
      <c r="A657" s="268" t="s">
        <v>1186</v>
      </c>
      <c r="B657" s="42"/>
      <c r="C657" s="33" t="s">
        <v>1176</v>
      </c>
      <c r="D657" s="33" t="s">
        <v>1174</v>
      </c>
      <c r="E657" s="33" t="s">
        <v>1187</v>
      </c>
      <c r="F657" s="103"/>
      <c r="G657" s="26">
        <f>SUM(G658+G661)</f>
        <v>7600</v>
      </c>
      <c r="H657" s="26">
        <f>SUM(H658)</f>
        <v>0</v>
      </c>
      <c r="I657" s="26">
        <f t="shared" si="20"/>
        <v>0</v>
      </c>
      <c r="J657"/>
    </row>
    <row r="658" spans="1:10" ht="37.5" customHeight="1">
      <c r="A658" s="99" t="s">
        <v>878</v>
      </c>
      <c r="B658" s="42"/>
      <c r="C658" s="33" t="s">
        <v>1176</v>
      </c>
      <c r="D658" s="33" t="s">
        <v>1174</v>
      </c>
      <c r="E658" s="33" t="s">
        <v>831</v>
      </c>
      <c r="F658" s="103"/>
      <c r="G658" s="26">
        <f>SUM(G659:G660)</f>
        <v>4000</v>
      </c>
      <c r="H658" s="26">
        <f>SUM(H659:H663)</f>
        <v>0</v>
      </c>
      <c r="I658" s="26">
        <f>SUM(H658/G658*100)</f>
        <v>0</v>
      </c>
      <c r="J658"/>
    </row>
    <row r="659" spans="1:13" ht="45" customHeight="1">
      <c r="A659" s="318" t="s">
        <v>808</v>
      </c>
      <c r="B659" s="42"/>
      <c r="C659" s="33" t="s">
        <v>1176</v>
      </c>
      <c r="D659" s="33" t="s">
        <v>1174</v>
      </c>
      <c r="E659" s="33" t="s">
        <v>831</v>
      </c>
      <c r="F659" s="103" t="s">
        <v>830</v>
      </c>
      <c r="G659" s="26">
        <v>2510</v>
      </c>
      <c r="H659" s="26"/>
      <c r="I659" s="26">
        <f>SUM(H659/G659*100)</f>
        <v>0</v>
      </c>
      <c r="J659" s="180">
        <f>SUM('[1]ведомствен.2012'!G1268)</f>
        <v>2510</v>
      </c>
      <c r="M659" t="e">
        <f>SUM(#REF!)</f>
        <v>#REF!</v>
      </c>
    </row>
    <row r="660" spans="1:13" ht="28.5">
      <c r="A660" s="299" t="s">
        <v>316</v>
      </c>
      <c r="B660" s="42"/>
      <c r="C660" s="33" t="s">
        <v>1176</v>
      </c>
      <c r="D660" s="33" t="s">
        <v>1174</v>
      </c>
      <c r="E660" s="33" t="s">
        <v>831</v>
      </c>
      <c r="F660" s="103" t="s">
        <v>772</v>
      </c>
      <c r="G660" s="54">
        <v>1490</v>
      </c>
      <c r="H660" s="54"/>
      <c r="I660" s="26">
        <f>SUM(H660/G660*100)</f>
        <v>0</v>
      </c>
      <c r="J660" s="180">
        <f>SUM('[1]ведомствен.2012'!G1269)</f>
        <v>1490</v>
      </c>
      <c r="M660" t="e">
        <f>SUM(#REF!)</f>
        <v>#REF!</v>
      </c>
    </row>
    <row r="661" spans="1:10" ht="33" customHeight="1">
      <c r="A661" s="99" t="s">
        <v>832</v>
      </c>
      <c r="B661" s="42"/>
      <c r="C661" s="33" t="s">
        <v>1176</v>
      </c>
      <c r="D661" s="33" t="s">
        <v>1174</v>
      </c>
      <c r="E661" s="33" t="s">
        <v>833</v>
      </c>
      <c r="F661" s="103"/>
      <c r="G661" s="54">
        <f>SUM(G662:G663)</f>
        <v>3600</v>
      </c>
      <c r="H661" s="54"/>
      <c r="I661" s="26"/>
      <c r="J661"/>
    </row>
    <row r="662" spans="1:13" ht="43.5" customHeight="1">
      <c r="A662" s="318" t="s">
        <v>808</v>
      </c>
      <c r="B662" s="42"/>
      <c r="C662" s="33" t="s">
        <v>1176</v>
      </c>
      <c r="D662" s="33" t="s">
        <v>1174</v>
      </c>
      <c r="E662" s="33" t="s">
        <v>833</v>
      </c>
      <c r="F662" s="103" t="s">
        <v>830</v>
      </c>
      <c r="G662" s="26">
        <v>2904</v>
      </c>
      <c r="H662" s="26"/>
      <c r="I662" s="26">
        <f>SUM(H662/G662*100)</f>
        <v>0</v>
      </c>
      <c r="J662" s="180">
        <f>SUM('[1]ведомствен.2012'!G1271)</f>
        <v>2904</v>
      </c>
      <c r="M662" t="e">
        <f>SUM(#REF!)</f>
        <v>#REF!</v>
      </c>
    </row>
    <row r="663" spans="1:13" ht="28.5">
      <c r="A663" s="299" t="s">
        <v>316</v>
      </c>
      <c r="B663" s="42"/>
      <c r="C663" s="33" t="s">
        <v>1176</v>
      </c>
      <c r="D663" s="33" t="s">
        <v>1174</v>
      </c>
      <c r="E663" s="33" t="s">
        <v>833</v>
      </c>
      <c r="F663" s="103" t="s">
        <v>772</v>
      </c>
      <c r="G663" s="54">
        <v>696</v>
      </c>
      <c r="H663" s="54"/>
      <c r="I663" s="26">
        <f>SUM(H663/G663*100)</f>
        <v>0</v>
      </c>
      <c r="J663" s="180">
        <f>SUM('[1]ведомствен.2012'!G1272)</f>
        <v>696</v>
      </c>
      <c r="M663" t="e">
        <f>SUM(#REF!)</f>
        <v>#REF!</v>
      </c>
    </row>
    <row r="664" spans="1:9" s="104" customFormat="1" ht="33" customHeight="1" hidden="1">
      <c r="A664" s="99" t="s">
        <v>832</v>
      </c>
      <c r="B664" s="42"/>
      <c r="C664" s="33" t="s">
        <v>1176</v>
      </c>
      <c r="D664" s="33" t="s">
        <v>1174</v>
      </c>
      <c r="E664" s="33" t="s">
        <v>833</v>
      </c>
      <c r="F664" s="103" t="s">
        <v>830</v>
      </c>
      <c r="G664" s="54"/>
      <c r="H664" s="54">
        <v>2421.6</v>
      </c>
      <c r="I664" s="26" t="e">
        <f t="shared" si="20"/>
        <v>#DIV/0!</v>
      </c>
    </row>
    <row r="665" spans="1:10" ht="15.75" customHeight="1" hidden="1">
      <c r="A665" s="35" t="s">
        <v>1162</v>
      </c>
      <c r="B665" s="96"/>
      <c r="C665" s="37" t="s">
        <v>1163</v>
      </c>
      <c r="D665" s="37"/>
      <c r="E665" s="37"/>
      <c r="F665" s="28"/>
      <c r="G665" s="26">
        <f>SUM(G666)+G669</f>
        <v>0</v>
      </c>
      <c r="H665" s="26">
        <f>SUM(H666)+H669</f>
        <v>0</v>
      </c>
      <c r="I665" s="26" t="e">
        <f t="shared" si="20"/>
        <v>#DIV/0!</v>
      </c>
      <c r="J665"/>
    </row>
    <row r="666" spans="1:10" ht="15.75" customHeight="1" hidden="1">
      <c r="A666" s="27" t="s">
        <v>1164</v>
      </c>
      <c r="B666" s="30"/>
      <c r="C666" s="24" t="s">
        <v>1163</v>
      </c>
      <c r="D666" s="24" t="s">
        <v>1163</v>
      </c>
      <c r="E666" s="24"/>
      <c r="F666" s="25"/>
      <c r="G666" s="26">
        <f>SUM(G667)</f>
        <v>0</v>
      </c>
      <c r="H666" s="26">
        <f>SUM(H667)</f>
        <v>0</v>
      </c>
      <c r="I666" s="26" t="e">
        <f aca="true" t="shared" si="21" ref="I666:I729">SUM(H666/G666*100)</f>
        <v>#DIV/0!</v>
      </c>
      <c r="J666"/>
    </row>
    <row r="667" spans="1:10" ht="27.75" customHeight="1" hidden="1">
      <c r="A667" s="27" t="s">
        <v>1165</v>
      </c>
      <c r="B667" s="30"/>
      <c r="C667" s="24" t="s">
        <v>1163</v>
      </c>
      <c r="D667" s="24" t="s">
        <v>1163</v>
      </c>
      <c r="E667" s="24" t="s">
        <v>1166</v>
      </c>
      <c r="F667" s="25"/>
      <c r="G667" s="26">
        <f>SUM(G668)</f>
        <v>0</v>
      </c>
      <c r="H667" s="26">
        <f>SUM(H668)</f>
        <v>0</v>
      </c>
      <c r="I667" s="26" t="e">
        <f t="shared" si="21"/>
        <v>#DIV/0!</v>
      </c>
      <c r="J667"/>
    </row>
    <row r="668" spans="1:10" ht="13.5" customHeight="1" hidden="1">
      <c r="A668" s="27" t="s">
        <v>1167</v>
      </c>
      <c r="B668" s="30"/>
      <c r="C668" s="24" t="s">
        <v>1163</v>
      </c>
      <c r="D668" s="24" t="s">
        <v>1163</v>
      </c>
      <c r="E668" s="24" t="s">
        <v>1166</v>
      </c>
      <c r="F668" s="25" t="s">
        <v>1168</v>
      </c>
      <c r="G668" s="26"/>
      <c r="H668" s="26"/>
      <c r="I668" s="26" t="e">
        <f t="shared" si="21"/>
        <v>#DIV/0!</v>
      </c>
      <c r="J668"/>
    </row>
    <row r="669" spans="1:10" ht="13.5" customHeight="1" hidden="1">
      <c r="A669" s="268" t="s">
        <v>98</v>
      </c>
      <c r="B669" s="30"/>
      <c r="C669" s="24" t="s">
        <v>1163</v>
      </c>
      <c r="D669" s="24" t="s">
        <v>971</v>
      </c>
      <c r="E669" s="24"/>
      <c r="F669" s="25"/>
      <c r="G669" s="26">
        <f>SUM(G670)</f>
        <v>0</v>
      </c>
      <c r="H669" s="26">
        <f>SUM(H670)</f>
        <v>0</v>
      </c>
      <c r="I669" s="26" t="e">
        <f t="shared" si="21"/>
        <v>#DIV/0!</v>
      </c>
      <c r="J669"/>
    </row>
    <row r="670" spans="1:10" ht="13.5" customHeight="1" hidden="1">
      <c r="A670" s="268" t="s">
        <v>1186</v>
      </c>
      <c r="B670" s="30"/>
      <c r="C670" s="24" t="s">
        <v>1163</v>
      </c>
      <c r="D670" s="24" t="s">
        <v>971</v>
      </c>
      <c r="E670" s="24" t="s">
        <v>1187</v>
      </c>
      <c r="F670" s="25"/>
      <c r="G670" s="26">
        <f>SUM(G671)</f>
        <v>0</v>
      </c>
      <c r="H670" s="26">
        <f>SUM(H671)</f>
        <v>0</v>
      </c>
      <c r="I670" s="26" t="e">
        <f t="shared" si="21"/>
        <v>#DIV/0!</v>
      </c>
      <c r="J670"/>
    </row>
    <row r="671" spans="1:10" ht="13.5" customHeight="1" hidden="1">
      <c r="A671" s="27" t="s">
        <v>834</v>
      </c>
      <c r="B671" s="30"/>
      <c r="C671" s="24" t="s">
        <v>1163</v>
      </c>
      <c r="D671" s="24" t="s">
        <v>971</v>
      </c>
      <c r="E671" s="24" t="s">
        <v>1187</v>
      </c>
      <c r="F671" s="25" t="s">
        <v>364</v>
      </c>
      <c r="G671" s="26"/>
      <c r="H671" s="26"/>
      <c r="I671" s="26" t="e">
        <f t="shared" si="21"/>
        <v>#DIV/0!</v>
      </c>
      <c r="J671"/>
    </row>
    <row r="672" spans="1:13" s="22" customFormat="1" ht="15.75">
      <c r="A672" s="263" t="s">
        <v>529</v>
      </c>
      <c r="B672" s="42"/>
      <c r="C672" s="43" t="s">
        <v>971</v>
      </c>
      <c r="D672" s="43"/>
      <c r="E672" s="43"/>
      <c r="F672" s="44"/>
      <c r="G672" s="45">
        <f>SUM(G673+G687+G709+G714+G724+G733)</f>
        <v>102539.9</v>
      </c>
      <c r="H672" s="45" t="e">
        <f>SUM(H673+H687+H709+H714+H724+H733)</f>
        <v>#REF!</v>
      </c>
      <c r="I672" s="45" t="e">
        <f t="shared" si="21"/>
        <v>#REF!</v>
      </c>
      <c r="K672" s="22">
        <f>SUM(J673:J763)</f>
        <v>102539.9</v>
      </c>
      <c r="M672" s="22" t="e">
        <f>SUM(#REF!)</f>
        <v>#REF!</v>
      </c>
    </row>
    <row r="673" spans="1:10" ht="15.75" customHeight="1">
      <c r="A673" s="35" t="s">
        <v>365</v>
      </c>
      <c r="B673" s="23"/>
      <c r="C673" s="37" t="s">
        <v>971</v>
      </c>
      <c r="D673" s="37" t="s">
        <v>1140</v>
      </c>
      <c r="E673" s="37"/>
      <c r="F673" s="28"/>
      <c r="G673" s="26">
        <f>SUM(G678+G680)</f>
        <v>10958.8</v>
      </c>
      <c r="H673" s="26">
        <f>SUM(H678+H680)</f>
        <v>49456.8</v>
      </c>
      <c r="I673" s="26">
        <f t="shared" si="21"/>
        <v>451.29758732707967</v>
      </c>
      <c r="J673"/>
    </row>
    <row r="674" spans="1:10" ht="19.5" customHeight="1" hidden="1">
      <c r="A674" s="61" t="s">
        <v>366</v>
      </c>
      <c r="B674" s="23"/>
      <c r="C674" s="37" t="s">
        <v>971</v>
      </c>
      <c r="D674" s="37" t="s">
        <v>1140</v>
      </c>
      <c r="E674" s="37" t="s">
        <v>367</v>
      </c>
      <c r="F674" s="28"/>
      <c r="G674" s="26">
        <f>SUM(G675)</f>
        <v>0</v>
      </c>
      <c r="H674" s="26">
        <f>SUM(H675)</f>
        <v>0</v>
      </c>
      <c r="I674" s="26" t="e">
        <f t="shared" si="21"/>
        <v>#DIV/0!</v>
      </c>
      <c r="J674"/>
    </row>
    <row r="675" spans="1:10" ht="18.75" customHeight="1" hidden="1">
      <c r="A675" s="27" t="s">
        <v>139</v>
      </c>
      <c r="B675" s="23"/>
      <c r="C675" s="37" t="s">
        <v>971</v>
      </c>
      <c r="D675" s="37" t="s">
        <v>1140</v>
      </c>
      <c r="E675" s="37" t="s">
        <v>368</v>
      </c>
      <c r="F675" s="28"/>
      <c r="G675" s="26">
        <f>SUM(G676)</f>
        <v>0</v>
      </c>
      <c r="H675" s="26">
        <f>SUM(H676)</f>
        <v>0</v>
      </c>
      <c r="I675" s="26" t="e">
        <f t="shared" si="21"/>
        <v>#DIV/0!</v>
      </c>
      <c r="J675"/>
    </row>
    <row r="676" spans="1:10" ht="17.25" customHeight="1" hidden="1">
      <c r="A676" s="41" t="s">
        <v>141</v>
      </c>
      <c r="B676" s="23"/>
      <c r="C676" s="37" t="s">
        <v>971</v>
      </c>
      <c r="D676" s="37" t="s">
        <v>1140</v>
      </c>
      <c r="E676" s="37" t="s">
        <v>368</v>
      </c>
      <c r="F676" s="28" t="s">
        <v>142</v>
      </c>
      <c r="G676" s="26"/>
      <c r="H676" s="26"/>
      <c r="I676" s="26" t="e">
        <f t="shared" si="21"/>
        <v>#DIV/0!</v>
      </c>
      <c r="J676"/>
    </row>
    <row r="677" spans="1:10" ht="17.25" customHeight="1" hidden="1">
      <c r="A677" s="35" t="s">
        <v>660</v>
      </c>
      <c r="B677" s="23"/>
      <c r="C677" s="37" t="s">
        <v>971</v>
      </c>
      <c r="D677" s="37" t="s">
        <v>1140</v>
      </c>
      <c r="E677" s="24" t="s">
        <v>662</v>
      </c>
      <c r="F677" s="25"/>
      <c r="G677" s="26">
        <f>SUM(G678)</f>
        <v>0</v>
      </c>
      <c r="H677" s="26">
        <f>SUM(H678)</f>
        <v>146.8</v>
      </c>
      <c r="I677" s="26" t="e">
        <f t="shared" si="21"/>
        <v>#DIV/0!</v>
      </c>
      <c r="J677"/>
    </row>
    <row r="678" spans="1:10" ht="15.75" customHeight="1" hidden="1">
      <c r="A678" s="35" t="s">
        <v>638</v>
      </c>
      <c r="B678" s="23"/>
      <c r="C678" s="37" t="s">
        <v>971</v>
      </c>
      <c r="D678" s="37" t="s">
        <v>1140</v>
      </c>
      <c r="E678" s="24" t="s">
        <v>639</v>
      </c>
      <c r="F678" s="25"/>
      <c r="G678" s="26">
        <f>SUM(G679)</f>
        <v>0</v>
      </c>
      <c r="H678" s="26">
        <f>SUM(H679)</f>
        <v>146.8</v>
      </c>
      <c r="I678" s="26" t="e">
        <f t="shared" si="21"/>
        <v>#DIV/0!</v>
      </c>
      <c r="J678"/>
    </row>
    <row r="679" spans="1:10" ht="17.25" customHeight="1" hidden="1">
      <c r="A679" s="41" t="s">
        <v>141</v>
      </c>
      <c r="B679" s="36"/>
      <c r="C679" s="37" t="s">
        <v>971</v>
      </c>
      <c r="D679" s="37" t="s">
        <v>1140</v>
      </c>
      <c r="E679" s="24" t="s">
        <v>639</v>
      </c>
      <c r="F679" s="28" t="s">
        <v>142</v>
      </c>
      <c r="G679" s="26"/>
      <c r="H679" s="26">
        <v>146.8</v>
      </c>
      <c r="I679" s="26" t="e">
        <f t="shared" si="21"/>
        <v>#DIV/0!</v>
      </c>
      <c r="J679"/>
    </row>
    <row r="680" spans="1:10" ht="15">
      <c r="A680" s="35" t="s">
        <v>369</v>
      </c>
      <c r="B680" s="23"/>
      <c r="C680" s="37" t="s">
        <v>971</v>
      </c>
      <c r="D680" s="37" t="s">
        <v>1140</v>
      </c>
      <c r="E680" s="37" t="s">
        <v>370</v>
      </c>
      <c r="F680" s="28"/>
      <c r="G680" s="26">
        <f>SUM(G681)+G684</f>
        <v>10958.8</v>
      </c>
      <c r="H680" s="26">
        <f>SUM(H681)</f>
        <v>49310</v>
      </c>
      <c r="I680" s="26">
        <f t="shared" si="21"/>
        <v>449.9580246012338</v>
      </c>
      <c r="J680"/>
    </row>
    <row r="681" spans="1:10" ht="30.75" customHeight="1">
      <c r="A681" s="286" t="s">
        <v>807</v>
      </c>
      <c r="B681" s="96"/>
      <c r="C681" s="37" t="s">
        <v>971</v>
      </c>
      <c r="D681" s="37" t="s">
        <v>1140</v>
      </c>
      <c r="E681" s="37" t="s">
        <v>773</v>
      </c>
      <c r="F681" s="28"/>
      <c r="G681" s="26">
        <f>SUM(G683)</f>
        <v>8280.5</v>
      </c>
      <c r="H681" s="26">
        <f>SUM(H682:H685)</f>
        <v>49310</v>
      </c>
      <c r="I681" s="26">
        <f t="shared" si="21"/>
        <v>595.4954410965521</v>
      </c>
      <c r="J681"/>
    </row>
    <row r="682" spans="1:13" ht="32.25" customHeight="1">
      <c r="A682" s="286" t="s">
        <v>817</v>
      </c>
      <c r="B682" s="96"/>
      <c r="C682" s="37" t="s">
        <v>971</v>
      </c>
      <c r="D682" s="37" t="s">
        <v>1140</v>
      </c>
      <c r="E682" s="37" t="s">
        <v>816</v>
      </c>
      <c r="F682" s="28"/>
      <c r="G682" s="26">
        <f>SUM(G683)</f>
        <v>8280.5</v>
      </c>
      <c r="H682" s="26">
        <v>49310</v>
      </c>
      <c r="I682" s="26">
        <f t="shared" si="21"/>
        <v>595.4954410965521</v>
      </c>
      <c r="J682" s="180">
        <f>SUM('[1]ведомствен.2012'!G1290)</f>
        <v>8280.5</v>
      </c>
      <c r="M682" s="180" t="e">
        <f>SUM(#REF!+#REF!)</f>
        <v>#REF!</v>
      </c>
    </row>
    <row r="683" spans="1:10" ht="42" customHeight="1">
      <c r="A683" s="289" t="s">
        <v>1018</v>
      </c>
      <c r="B683" s="56"/>
      <c r="C683" s="37" t="s">
        <v>971</v>
      </c>
      <c r="D683" s="37" t="s">
        <v>1140</v>
      </c>
      <c r="E683" s="37" t="s">
        <v>816</v>
      </c>
      <c r="F683" s="29" t="s">
        <v>73</v>
      </c>
      <c r="G683" s="26">
        <v>8280.5</v>
      </c>
      <c r="H683" s="26"/>
      <c r="I683" s="26">
        <f t="shared" si="21"/>
        <v>0</v>
      </c>
      <c r="J683"/>
    </row>
    <row r="684" spans="1:10" ht="28.5" customHeight="1">
      <c r="A684" s="27" t="s">
        <v>493</v>
      </c>
      <c r="B684" s="23"/>
      <c r="C684" s="37" t="s">
        <v>372</v>
      </c>
      <c r="D684" s="37" t="s">
        <v>1140</v>
      </c>
      <c r="E684" s="37" t="s">
        <v>371</v>
      </c>
      <c r="F684" s="28"/>
      <c r="G684" s="26">
        <f>SUM(G685)</f>
        <v>2678.3</v>
      </c>
      <c r="H684" s="26"/>
      <c r="I684" s="26">
        <f t="shared" si="21"/>
        <v>0</v>
      </c>
      <c r="J684"/>
    </row>
    <row r="685" spans="1:10" ht="21" customHeight="1">
      <c r="A685" s="41" t="s">
        <v>494</v>
      </c>
      <c r="B685" s="23"/>
      <c r="C685" s="37" t="s">
        <v>372</v>
      </c>
      <c r="D685" s="37" t="s">
        <v>1140</v>
      </c>
      <c r="E685" s="37" t="s">
        <v>371</v>
      </c>
      <c r="F685" s="28" t="s">
        <v>142</v>
      </c>
      <c r="G685" s="26">
        <v>2678.3</v>
      </c>
      <c r="H685" s="26">
        <f>SUM(H686)</f>
        <v>0</v>
      </c>
      <c r="I685" s="26">
        <f t="shared" si="21"/>
        <v>0</v>
      </c>
      <c r="J685">
        <f>SUM('[1]ведомствен.2012'!G719)</f>
        <v>2678.3</v>
      </c>
    </row>
    <row r="686" spans="1:10" ht="23.25" customHeight="1" hidden="1">
      <c r="A686" s="41" t="s">
        <v>141</v>
      </c>
      <c r="B686" s="23"/>
      <c r="C686" s="37" t="s">
        <v>372</v>
      </c>
      <c r="D686" s="37" t="s">
        <v>1140</v>
      </c>
      <c r="E686" s="37" t="s">
        <v>118</v>
      </c>
      <c r="F686" s="28" t="s">
        <v>142</v>
      </c>
      <c r="G686" s="26"/>
      <c r="H686" s="26"/>
      <c r="I686" s="26" t="e">
        <f t="shared" si="21"/>
        <v>#DIV/0!</v>
      </c>
      <c r="J686"/>
    </row>
    <row r="687" spans="1:10" ht="18.75" customHeight="1">
      <c r="A687" s="35" t="s">
        <v>119</v>
      </c>
      <c r="B687" s="23"/>
      <c r="C687" s="37" t="s">
        <v>971</v>
      </c>
      <c r="D687" s="37" t="s">
        <v>1142</v>
      </c>
      <c r="E687" s="37"/>
      <c r="F687" s="28"/>
      <c r="G687" s="26">
        <f>SUM(G688+G694+G700+G706)</f>
        <v>19716.3</v>
      </c>
      <c r="H687" s="26" t="e">
        <f>SUM(H688+H694+H700+H706)</f>
        <v>#REF!</v>
      </c>
      <c r="I687" s="26" t="e">
        <f t="shared" si="21"/>
        <v>#REF!</v>
      </c>
      <c r="J687"/>
    </row>
    <row r="688" spans="1:10" ht="18.75" customHeight="1">
      <c r="A688" s="35" t="s">
        <v>369</v>
      </c>
      <c r="B688" s="23"/>
      <c r="C688" s="37" t="s">
        <v>971</v>
      </c>
      <c r="D688" s="37" t="s">
        <v>1142</v>
      </c>
      <c r="E688" s="37" t="s">
        <v>370</v>
      </c>
      <c r="F688" s="28"/>
      <c r="G688" s="26">
        <f>SUM(G689)+G692</f>
        <v>9873.3</v>
      </c>
      <c r="H688" s="26" t="e">
        <f>SUM(H689)</f>
        <v>#REF!</v>
      </c>
      <c r="I688" s="26" t="e">
        <f t="shared" si="21"/>
        <v>#REF!</v>
      </c>
      <c r="J688"/>
    </row>
    <row r="689" spans="1:10" ht="28.5" customHeight="1">
      <c r="A689" s="286" t="s">
        <v>807</v>
      </c>
      <c r="B689" s="96"/>
      <c r="C689" s="37" t="s">
        <v>971</v>
      </c>
      <c r="D689" s="37" t="s">
        <v>1142</v>
      </c>
      <c r="E689" s="37" t="s">
        <v>773</v>
      </c>
      <c r="F689" s="28"/>
      <c r="G689" s="26">
        <f>SUM(G691)</f>
        <v>7024.8</v>
      </c>
      <c r="H689" s="26" t="e">
        <f>SUM(H690:H693)</f>
        <v>#REF!</v>
      </c>
      <c r="I689" s="26" t="e">
        <f t="shared" si="21"/>
        <v>#REF!</v>
      </c>
      <c r="J689"/>
    </row>
    <row r="690" spans="1:13" ht="29.25" customHeight="1">
      <c r="A690" s="286" t="s">
        <v>817</v>
      </c>
      <c r="B690" s="96"/>
      <c r="C690" s="37" t="s">
        <v>971</v>
      </c>
      <c r="D690" s="37" t="s">
        <v>1142</v>
      </c>
      <c r="E690" s="37" t="s">
        <v>816</v>
      </c>
      <c r="F690" s="28"/>
      <c r="G690" s="26">
        <f>SUM(G691)</f>
        <v>7024.8</v>
      </c>
      <c r="H690" s="26">
        <v>21823.6</v>
      </c>
      <c r="I690" s="26">
        <f t="shared" si="21"/>
        <v>310.66507231522604</v>
      </c>
      <c r="J690" s="180">
        <f>SUM('[1]ведомствен.2012'!G1298)</f>
        <v>7024.8</v>
      </c>
      <c r="M690" s="180" t="e">
        <f>SUM(#REF!+#REF!)</f>
        <v>#REF!</v>
      </c>
    </row>
    <row r="691" spans="1:10" ht="45.75" customHeight="1">
      <c r="A691" s="289" t="s">
        <v>1018</v>
      </c>
      <c r="B691" s="56"/>
      <c r="C691" s="37" t="s">
        <v>971</v>
      </c>
      <c r="D691" s="37" t="s">
        <v>1142</v>
      </c>
      <c r="E691" s="37" t="s">
        <v>816</v>
      </c>
      <c r="F691" s="29" t="s">
        <v>73</v>
      </c>
      <c r="G691" s="26">
        <v>7024.8</v>
      </c>
      <c r="H691" s="26"/>
      <c r="I691" s="26">
        <f t="shared" si="21"/>
        <v>0</v>
      </c>
      <c r="J691"/>
    </row>
    <row r="692" spans="1:10" ht="28.5" customHeight="1">
      <c r="A692" s="27" t="s">
        <v>493</v>
      </c>
      <c r="B692" s="23"/>
      <c r="C692" s="37" t="s">
        <v>971</v>
      </c>
      <c r="D692" s="37" t="s">
        <v>1142</v>
      </c>
      <c r="E692" s="37" t="s">
        <v>371</v>
      </c>
      <c r="F692" s="28"/>
      <c r="G692" s="26">
        <f>SUM(G693)</f>
        <v>2848.5</v>
      </c>
      <c r="H692" s="26"/>
      <c r="I692" s="26">
        <f>SUM(H692/G692*100)</f>
        <v>0</v>
      </c>
      <c r="J692"/>
    </row>
    <row r="693" spans="1:10" ht="21" customHeight="1">
      <c r="A693" s="41" t="s">
        <v>494</v>
      </c>
      <c r="B693" s="23"/>
      <c r="C693" s="37" t="s">
        <v>971</v>
      </c>
      <c r="D693" s="37" t="s">
        <v>1142</v>
      </c>
      <c r="E693" s="37" t="s">
        <v>371</v>
      </c>
      <c r="F693" s="28" t="s">
        <v>142</v>
      </c>
      <c r="G693" s="26">
        <v>2848.5</v>
      </c>
      <c r="H693" s="26" t="e">
        <f>SUM(#REF!)</f>
        <v>#REF!</v>
      </c>
      <c r="I693" s="26" t="e">
        <f>SUM(H693/G693*100)</f>
        <v>#REF!</v>
      </c>
      <c r="J693">
        <f>SUM('[1]ведомствен.2012'!G723)</f>
        <v>2848.5</v>
      </c>
    </row>
    <row r="694" spans="1:10" ht="15.75" customHeight="1">
      <c r="A694" s="35" t="s">
        <v>120</v>
      </c>
      <c r="B694" s="23"/>
      <c r="C694" s="37" t="s">
        <v>971</v>
      </c>
      <c r="D694" s="37" t="s">
        <v>1142</v>
      </c>
      <c r="E694" s="37" t="s">
        <v>121</v>
      </c>
      <c r="F694" s="28"/>
      <c r="G694" s="26">
        <f>SUM(G695)+G698</f>
        <v>7174.900000000001</v>
      </c>
      <c r="H694" s="26" t="e">
        <f>SUM(H695)</f>
        <v>#REF!</v>
      </c>
      <c r="I694" s="26" t="e">
        <f t="shared" si="21"/>
        <v>#REF!</v>
      </c>
      <c r="J694"/>
    </row>
    <row r="695" spans="1:10" ht="32.25" customHeight="1">
      <c r="A695" s="286" t="s">
        <v>807</v>
      </c>
      <c r="B695" s="23"/>
      <c r="C695" s="37" t="s">
        <v>971</v>
      </c>
      <c r="D695" s="37" t="s">
        <v>1142</v>
      </c>
      <c r="E695" s="37" t="s">
        <v>818</v>
      </c>
      <c r="F695" s="28"/>
      <c r="G695" s="26">
        <f>SUM(G696)</f>
        <v>6804.8</v>
      </c>
      <c r="H695" s="26" t="e">
        <f>SUM(H697:H699)</f>
        <v>#REF!</v>
      </c>
      <c r="I695" s="26" t="e">
        <f t="shared" si="21"/>
        <v>#REF!</v>
      </c>
      <c r="J695"/>
    </row>
    <row r="696" spans="1:10" ht="32.25" customHeight="1">
      <c r="A696" s="289" t="s">
        <v>817</v>
      </c>
      <c r="B696" s="23"/>
      <c r="C696" s="37" t="s">
        <v>971</v>
      </c>
      <c r="D696" s="37" t="s">
        <v>1142</v>
      </c>
      <c r="E696" s="37" t="s">
        <v>819</v>
      </c>
      <c r="F696" s="28"/>
      <c r="G696" s="26">
        <f>SUM(G697)</f>
        <v>6804.8</v>
      </c>
      <c r="H696" s="26"/>
      <c r="I696" s="26"/>
      <c r="J696"/>
    </row>
    <row r="697" spans="1:13" ht="47.25" customHeight="1">
      <c r="A697" s="289" t="s">
        <v>1018</v>
      </c>
      <c r="B697" s="23"/>
      <c r="C697" s="37" t="s">
        <v>971</v>
      </c>
      <c r="D697" s="37" t="s">
        <v>1142</v>
      </c>
      <c r="E697" s="37" t="s">
        <v>819</v>
      </c>
      <c r="F697" s="28" t="s">
        <v>73</v>
      </c>
      <c r="G697" s="26">
        <v>6804.8</v>
      </c>
      <c r="H697" s="26">
        <v>7467.6</v>
      </c>
      <c r="I697" s="26">
        <f t="shared" si="21"/>
        <v>109.74018339995297</v>
      </c>
      <c r="J697" s="180">
        <f>SUM('[1]ведомствен.2012'!G1306)</f>
        <v>6804.8</v>
      </c>
      <c r="M697" s="180" t="e">
        <f>SUM(#REF!)</f>
        <v>#REF!</v>
      </c>
    </row>
    <row r="698" spans="1:10" ht="28.5" customHeight="1">
      <c r="A698" s="27" t="s">
        <v>493</v>
      </c>
      <c r="B698" s="23"/>
      <c r="C698" s="37" t="s">
        <v>971</v>
      </c>
      <c r="D698" s="37" t="s">
        <v>1142</v>
      </c>
      <c r="E698" s="37" t="s">
        <v>122</v>
      </c>
      <c r="F698" s="28"/>
      <c r="G698" s="26">
        <f>SUM(G699)</f>
        <v>370.1</v>
      </c>
      <c r="H698" s="26"/>
      <c r="I698" s="26">
        <f t="shared" si="21"/>
        <v>0</v>
      </c>
      <c r="J698"/>
    </row>
    <row r="699" spans="1:10" ht="21" customHeight="1">
      <c r="A699" s="41" t="s">
        <v>494</v>
      </c>
      <c r="B699" s="23"/>
      <c r="C699" s="37" t="s">
        <v>971</v>
      </c>
      <c r="D699" s="37" t="s">
        <v>1142</v>
      </c>
      <c r="E699" s="37" t="s">
        <v>122</v>
      </c>
      <c r="F699" s="28" t="s">
        <v>142</v>
      </c>
      <c r="G699" s="26">
        <v>370.1</v>
      </c>
      <c r="H699" s="26" t="e">
        <f>SUM(#REF!)</f>
        <v>#REF!</v>
      </c>
      <c r="I699" s="26" t="e">
        <f t="shared" si="21"/>
        <v>#REF!</v>
      </c>
      <c r="J699">
        <f>SUM('[1]ведомствен.2012'!G726)</f>
        <v>370.1</v>
      </c>
    </row>
    <row r="700" spans="1:10" ht="14.25" customHeight="1">
      <c r="A700" s="35" t="s">
        <v>124</v>
      </c>
      <c r="B700" s="23"/>
      <c r="C700" s="37" t="s">
        <v>971</v>
      </c>
      <c r="D700" s="37" t="s">
        <v>1142</v>
      </c>
      <c r="E700" s="37" t="s">
        <v>125</v>
      </c>
      <c r="F700" s="28"/>
      <c r="G700" s="26">
        <f>SUM(G701)+G704</f>
        <v>2102.1</v>
      </c>
      <c r="H700" s="26">
        <f>SUM(H701)</f>
        <v>1817.2</v>
      </c>
      <c r="I700" s="26">
        <f t="shared" si="21"/>
        <v>86.44688644688645</v>
      </c>
      <c r="J700"/>
    </row>
    <row r="701" spans="1:10" ht="31.5" customHeight="1">
      <c r="A701" s="286" t="s">
        <v>807</v>
      </c>
      <c r="B701" s="96"/>
      <c r="C701" s="37" t="s">
        <v>971</v>
      </c>
      <c r="D701" s="37" t="s">
        <v>1142</v>
      </c>
      <c r="E701" s="37" t="s">
        <v>774</v>
      </c>
      <c r="F701" s="28"/>
      <c r="G701" s="26">
        <f>SUM(G703)</f>
        <v>2067.6</v>
      </c>
      <c r="H701" s="26">
        <f>SUM(H702:H703)</f>
        <v>1817.2</v>
      </c>
      <c r="I701" s="26">
        <f t="shared" si="21"/>
        <v>87.88934029792998</v>
      </c>
      <c r="J701"/>
    </row>
    <row r="702" spans="1:13" ht="39" customHeight="1">
      <c r="A702" s="286" t="s">
        <v>817</v>
      </c>
      <c r="B702" s="96"/>
      <c r="C702" s="37" t="s">
        <v>971</v>
      </c>
      <c r="D702" s="37" t="s">
        <v>1142</v>
      </c>
      <c r="E702" s="37" t="s">
        <v>821</v>
      </c>
      <c r="F702" s="28"/>
      <c r="G702" s="26">
        <f>SUM(G703)</f>
        <v>2067.6</v>
      </c>
      <c r="H702" s="26">
        <v>1817.2</v>
      </c>
      <c r="I702" s="26">
        <f t="shared" si="21"/>
        <v>87.88934029792998</v>
      </c>
      <c r="J702" s="180">
        <f>SUM('[1]ведомствен.2012'!G1310)</f>
        <v>2067.6</v>
      </c>
      <c r="M702" s="180" t="e">
        <f>SUM(#REF!)</f>
        <v>#REF!</v>
      </c>
    </row>
    <row r="703" spans="1:10" ht="50.25" customHeight="1">
      <c r="A703" s="289" t="s">
        <v>1018</v>
      </c>
      <c r="B703" s="56"/>
      <c r="C703" s="37" t="s">
        <v>971</v>
      </c>
      <c r="D703" s="37" t="s">
        <v>1142</v>
      </c>
      <c r="E703" s="37" t="s">
        <v>775</v>
      </c>
      <c r="F703" s="29" t="s">
        <v>73</v>
      </c>
      <c r="G703" s="26">
        <v>2067.6</v>
      </c>
      <c r="H703" s="26"/>
      <c r="I703" s="26">
        <f t="shared" si="21"/>
        <v>0</v>
      </c>
      <c r="J703"/>
    </row>
    <row r="704" spans="1:10" ht="28.5" customHeight="1">
      <c r="A704" s="27" t="s">
        <v>493</v>
      </c>
      <c r="B704" s="23"/>
      <c r="C704" s="37" t="s">
        <v>971</v>
      </c>
      <c r="D704" s="37" t="s">
        <v>1142</v>
      </c>
      <c r="E704" s="37" t="s">
        <v>218</v>
      </c>
      <c r="F704" s="28"/>
      <c r="G704" s="26">
        <f>SUM(G705)</f>
        <v>34.5</v>
      </c>
      <c r="H704" s="26"/>
      <c r="I704" s="26">
        <f>SUM(H704/G704*100)</f>
        <v>0</v>
      </c>
      <c r="J704"/>
    </row>
    <row r="705" spans="1:10" ht="21" customHeight="1">
      <c r="A705" s="41" t="s">
        <v>494</v>
      </c>
      <c r="B705" s="23"/>
      <c r="C705" s="37" t="s">
        <v>971</v>
      </c>
      <c r="D705" s="37" t="s">
        <v>1142</v>
      </c>
      <c r="E705" s="37" t="s">
        <v>218</v>
      </c>
      <c r="F705" s="28" t="s">
        <v>142</v>
      </c>
      <c r="G705" s="26">
        <v>34.5</v>
      </c>
      <c r="H705" s="26" t="e">
        <f>SUM(#REF!)</f>
        <v>#REF!</v>
      </c>
      <c r="I705" s="26" t="e">
        <f>SUM(H705/G705*100)</f>
        <v>#REF!</v>
      </c>
      <c r="J705">
        <f>SUM('[1]ведомствен.2012'!G729)</f>
        <v>34.5</v>
      </c>
    </row>
    <row r="706" spans="1:10" ht="14.25" customHeight="1">
      <c r="A706" s="267" t="s">
        <v>544</v>
      </c>
      <c r="B706" s="23"/>
      <c r="C706" s="37" t="s">
        <v>971</v>
      </c>
      <c r="D706" s="37" t="s">
        <v>1142</v>
      </c>
      <c r="E706" s="37" t="s">
        <v>545</v>
      </c>
      <c r="F706" s="28"/>
      <c r="G706" s="26">
        <f>SUM(G707)</f>
        <v>566</v>
      </c>
      <c r="H706" s="26">
        <f>SUM(H707)</f>
        <v>340</v>
      </c>
      <c r="I706" s="26">
        <f t="shared" si="21"/>
        <v>60.07067137809188</v>
      </c>
      <c r="J706"/>
    </row>
    <row r="707" spans="1:10" ht="42" customHeight="1">
      <c r="A707" s="38" t="s">
        <v>126</v>
      </c>
      <c r="B707" s="23"/>
      <c r="C707" s="37" t="s">
        <v>971</v>
      </c>
      <c r="D707" s="37" t="s">
        <v>1142</v>
      </c>
      <c r="E707" s="37" t="s">
        <v>127</v>
      </c>
      <c r="F707" s="28"/>
      <c r="G707" s="26">
        <f>SUM(G708)</f>
        <v>566</v>
      </c>
      <c r="H707" s="26">
        <f>SUM(H708)</f>
        <v>340</v>
      </c>
      <c r="I707" s="26">
        <f t="shared" si="21"/>
        <v>60.07067137809188</v>
      </c>
      <c r="J707"/>
    </row>
    <row r="708" spans="1:13" ht="30.75" customHeight="1">
      <c r="A708" s="289" t="s">
        <v>316</v>
      </c>
      <c r="B708" s="23"/>
      <c r="C708" s="37" t="s">
        <v>971</v>
      </c>
      <c r="D708" s="37" t="s">
        <v>1142</v>
      </c>
      <c r="E708" s="37" t="s">
        <v>127</v>
      </c>
      <c r="F708" s="28" t="s">
        <v>772</v>
      </c>
      <c r="G708" s="26">
        <v>566</v>
      </c>
      <c r="H708" s="26">
        <v>340</v>
      </c>
      <c r="I708" s="26">
        <f t="shared" si="21"/>
        <v>60.07067137809188</v>
      </c>
      <c r="J708" s="180">
        <f>SUM('[1]ведомствен.2012'!G1313)</f>
        <v>566</v>
      </c>
      <c r="M708" s="180" t="e">
        <f>SUM(#REF!)</f>
        <v>#REF!</v>
      </c>
    </row>
    <row r="709" spans="1:10" ht="14.25" customHeight="1" hidden="1">
      <c r="A709" s="105" t="s">
        <v>128</v>
      </c>
      <c r="B709" s="66"/>
      <c r="C709" s="37" t="s">
        <v>971</v>
      </c>
      <c r="D709" s="37" t="s">
        <v>1150</v>
      </c>
      <c r="E709" s="37"/>
      <c r="F709" s="28"/>
      <c r="G709" s="26">
        <f>SUM(G710)</f>
        <v>0</v>
      </c>
      <c r="H709" s="26">
        <f>SUM(H710)</f>
        <v>9494.7</v>
      </c>
      <c r="I709" s="26" t="e">
        <f t="shared" si="21"/>
        <v>#DIV/0!</v>
      </c>
      <c r="J709"/>
    </row>
    <row r="710" spans="1:10" ht="20.25" customHeight="1" hidden="1">
      <c r="A710" s="105" t="s">
        <v>129</v>
      </c>
      <c r="B710" s="66"/>
      <c r="C710" s="37" t="s">
        <v>971</v>
      </c>
      <c r="D710" s="37" t="s">
        <v>1150</v>
      </c>
      <c r="E710" s="37" t="s">
        <v>370</v>
      </c>
      <c r="F710" s="28"/>
      <c r="G710" s="26">
        <f>SUM(G711)</f>
        <v>0</v>
      </c>
      <c r="H710" s="26">
        <f>SUM(H711)</f>
        <v>9494.7</v>
      </c>
      <c r="I710" s="26" t="e">
        <f t="shared" si="21"/>
        <v>#DIV/0!</v>
      </c>
      <c r="J710"/>
    </row>
    <row r="711" spans="1:10" ht="37.5" customHeight="1" hidden="1">
      <c r="A711" s="27" t="s">
        <v>493</v>
      </c>
      <c r="B711" s="66"/>
      <c r="C711" s="37" t="s">
        <v>971</v>
      </c>
      <c r="D711" s="37" t="s">
        <v>1150</v>
      </c>
      <c r="E711" s="37" t="s">
        <v>371</v>
      </c>
      <c r="F711" s="28"/>
      <c r="G711" s="26">
        <f>SUM(G712:G713)</f>
        <v>0</v>
      </c>
      <c r="H711" s="26">
        <f>SUM(H712:H713)</f>
        <v>9494.7</v>
      </c>
      <c r="I711" s="26" t="e">
        <f t="shared" si="21"/>
        <v>#DIV/0!</v>
      </c>
      <c r="J711"/>
    </row>
    <row r="712" spans="1:10" ht="14.25" customHeight="1" hidden="1">
      <c r="A712" s="41" t="s">
        <v>494</v>
      </c>
      <c r="B712" s="66"/>
      <c r="C712" s="37" t="s">
        <v>971</v>
      </c>
      <c r="D712" s="37" t="s">
        <v>1150</v>
      </c>
      <c r="E712" s="37" t="s">
        <v>371</v>
      </c>
      <c r="F712" s="28" t="s">
        <v>142</v>
      </c>
      <c r="G712" s="26"/>
      <c r="H712" s="26">
        <v>9494.7</v>
      </c>
      <c r="I712" s="26" t="e">
        <f t="shared" si="21"/>
        <v>#DIV/0!</v>
      </c>
      <c r="J712"/>
    </row>
    <row r="713" spans="1:10" ht="14.25" customHeight="1" hidden="1">
      <c r="A713" s="27" t="s">
        <v>511</v>
      </c>
      <c r="B713" s="23"/>
      <c r="C713" s="37" t="s">
        <v>971</v>
      </c>
      <c r="D713" s="37" t="s">
        <v>1150</v>
      </c>
      <c r="E713" s="37" t="s">
        <v>122</v>
      </c>
      <c r="F713" s="28" t="s">
        <v>123</v>
      </c>
      <c r="G713" s="26"/>
      <c r="H713" s="26"/>
      <c r="I713" s="26" t="e">
        <f t="shared" si="21"/>
        <v>#DIV/0!</v>
      </c>
      <c r="J713"/>
    </row>
    <row r="714" spans="1:10" ht="15">
      <c r="A714" s="41" t="s">
        <v>130</v>
      </c>
      <c r="B714" s="23"/>
      <c r="C714" s="37" t="s">
        <v>971</v>
      </c>
      <c r="D714" s="37" t="s">
        <v>1174</v>
      </c>
      <c r="E714" s="37"/>
      <c r="F714" s="28"/>
      <c r="G714" s="26">
        <f>SUM(G717+G721+G715)</f>
        <v>60215.3</v>
      </c>
      <c r="H714" s="26">
        <f>SUM(H717+H721+H715)</f>
        <v>40136</v>
      </c>
      <c r="I714" s="26">
        <f t="shared" si="21"/>
        <v>66.65415600354062</v>
      </c>
      <c r="J714"/>
    </row>
    <row r="715" spans="1:10" ht="15" hidden="1">
      <c r="A715" s="41" t="s">
        <v>638</v>
      </c>
      <c r="B715" s="23"/>
      <c r="C715" s="37" t="s">
        <v>971</v>
      </c>
      <c r="D715" s="37" t="s">
        <v>1174</v>
      </c>
      <c r="E715" s="37" t="s">
        <v>639</v>
      </c>
      <c r="F715" s="28"/>
      <c r="G715" s="26">
        <f>SUM(G716)</f>
        <v>0</v>
      </c>
      <c r="H715" s="26">
        <f>SUM(H716)</f>
        <v>60</v>
      </c>
      <c r="I715" s="26" t="e">
        <f t="shared" si="21"/>
        <v>#DIV/0!</v>
      </c>
      <c r="J715"/>
    </row>
    <row r="716" spans="1:10" ht="15" hidden="1">
      <c r="A716" s="41" t="s">
        <v>141</v>
      </c>
      <c r="B716" s="23"/>
      <c r="C716" s="37" t="s">
        <v>971</v>
      </c>
      <c r="D716" s="37" t="s">
        <v>1174</v>
      </c>
      <c r="E716" s="37" t="s">
        <v>639</v>
      </c>
      <c r="F716" s="28" t="s">
        <v>142</v>
      </c>
      <c r="G716" s="26"/>
      <c r="H716" s="26">
        <v>60</v>
      </c>
      <c r="I716" s="26" t="e">
        <f t="shared" si="21"/>
        <v>#DIV/0!</v>
      </c>
      <c r="J716"/>
    </row>
    <row r="717" spans="1:10" ht="15" customHeight="1">
      <c r="A717" s="35" t="s">
        <v>131</v>
      </c>
      <c r="B717" s="23"/>
      <c r="C717" s="37" t="s">
        <v>971</v>
      </c>
      <c r="D717" s="37" t="s">
        <v>1174</v>
      </c>
      <c r="E717" s="37" t="s">
        <v>132</v>
      </c>
      <c r="F717" s="28"/>
      <c r="G717" s="26">
        <f>SUM(G718)</f>
        <v>51176</v>
      </c>
      <c r="H717" s="26">
        <f>SUM(H718)</f>
        <v>34637.7</v>
      </c>
      <c r="I717" s="26">
        <f t="shared" si="21"/>
        <v>67.68348444583397</v>
      </c>
      <c r="J717"/>
    </row>
    <row r="718" spans="1:10" ht="30" customHeight="1">
      <c r="A718" s="27" t="s">
        <v>493</v>
      </c>
      <c r="B718" s="23"/>
      <c r="C718" s="37" t="s">
        <v>971</v>
      </c>
      <c r="D718" s="37" t="s">
        <v>1174</v>
      </c>
      <c r="E718" s="37" t="s">
        <v>133</v>
      </c>
      <c r="F718" s="28"/>
      <c r="G718" s="26">
        <f>SUM(G719:G720)</f>
        <v>51176</v>
      </c>
      <c r="H718" s="26">
        <f>SUM(H719:H720)</f>
        <v>34637.7</v>
      </c>
      <c r="I718" s="26">
        <f t="shared" si="21"/>
        <v>67.68348444583397</v>
      </c>
      <c r="J718"/>
    </row>
    <row r="719" spans="1:13" ht="17.25" customHeight="1">
      <c r="A719" s="41" t="s">
        <v>494</v>
      </c>
      <c r="B719" s="23"/>
      <c r="C719" s="37" t="s">
        <v>971</v>
      </c>
      <c r="D719" s="37" t="s">
        <v>1174</v>
      </c>
      <c r="E719" s="37" t="s">
        <v>133</v>
      </c>
      <c r="F719" s="28" t="s">
        <v>142</v>
      </c>
      <c r="G719" s="26">
        <v>51176</v>
      </c>
      <c r="H719" s="26">
        <v>34637.7</v>
      </c>
      <c r="I719" s="26">
        <f t="shared" si="21"/>
        <v>67.68348444583397</v>
      </c>
      <c r="J719" s="180">
        <f>SUM('[1]ведомствен.2012'!G1324)+'[1]ведомствен.2012'!G733</f>
        <v>51176</v>
      </c>
      <c r="M719" s="180" t="e">
        <f>SUM(#REF!)</f>
        <v>#REF!</v>
      </c>
    </row>
    <row r="720" spans="1:10" ht="57" customHeight="1" hidden="1">
      <c r="A720" s="27" t="s">
        <v>511</v>
      </c>
      <c r="B720" s="23"/>
      <c r="C720" s="37" t="s">
        <v>971</v>
      </c>
      <c r="D720" s="37" t="s">
        <v>1174</v>
      </c>
      <c r="E720" s="37" t="s">
        <v>133</v>
      </c>
      <c r="F720" s="28" t="s">
        <v>123</v>
      </c>
      <c r="G720" s="26"/>
      <c r="H720" s="26"/>
      <c r="I720" s="26" t="e">
        <f t="shared" si="21"/>
        <v>#DIV/0!</v>
      </c>
      <c r="J720"/>
    </row>
    <row r="721" spans="1:10" ht="27" customHeight="1">
      <c r="A721" s="267" t="s">
        <v>544</v>
      </c>
      <c r="B721" s="23"/>
      <c r="C721" s="37" t="s">
        <v>971</v>
      </c>
      <c r="D721" s="37" t="s">
        <v>1174</v>
      </c>
      <c r="E721" s="37" t="s">
        <v>545</v>
      </c>
      <c r="F721" s="28"/>
      <c r="G721" s="26">
        <f>SUM(G722)</f>
        <v>9039.3</v>
      </c>
      <c r="H721" s="26">
        <f>SUM(H722)</f>
        <v>5438.3</v>
      </c>
      <c r="I721" s="26">
        <f t="shared" si="21"/>
        <v>60.162844468045094</v>
      </c>
      <c r="J721"/>
    </row>
    <row r="722" spans="1:9" s="106" customFormat="1" ht="41.25" customHeight="1">
      <c r="A722" s="38" t="s">
        <v>126</v>
      </c>
      <c r="B722" s="23"/>
      <c r="C722" s="37" t="s">
        <v>971</v>
      </c>
      <c r="D722" s="37" t="s">
        <v>1174</v>
      </c>
      <c r="E722" s="37" t="s">
        <v>127</v>
      </c>
      <c r="F722" s="28"/>
      <c r="G722" s="26">
        <f>SUM(G723)</f>
        <v>9039.3</v>
      </c>
      <c r="H722" s="26">
        <f>SUM(H723)</f>
        <v>5438.3</v>
      </c>
      <c r="I722" s="26">
        <f t="shared" si="21"/>
        <v>60.162844468045094</v>
      </c>
    </row>
    <row r="723" spans="1:13" ht="15">
      <c r="A723" s="41" t="s">
        <v>494</v>
      </c>
      <c r="B723" s="23"/>
      <c r="C723" s="37" t="s">
        <v>971</v>
      </c>
      <c r="D723" s="37" t="s">
        <v>1174</v>
      </c>
      <c r="E723" s="37" t="s">
        <v>127</v>
      </c>
      <c r="F723" s="28" t="s">
        <v>142</v>
      </c>
      <c r="G723" s="26">
        <v>9039.3</v>
      </c>
      <c r="H723" s="26">
        <v>5438.3</v>
      </c>
      <c r="I723" s="26">
        <f t="shared" si="21"/>
        <v>60.162844468045094</v>
      </c>
      <c r="J723" s="180">
        <f>SUM('[1]ведомствен.2012'!G1328)</f>
        <v>9039.3</v>
      </c>
      <c r="M723" s="180" t="e">
        <f>SUM(#REF!)</f>
        <v>#REF!</v>
      </c>
    </row>
    <row r="724" spans="1:10" ht="15" hidden="1">
      <c r="A724" s="35" t="s">
        <v>134</v>
      </c>
      <c r="B724" s="23"/>
      <c r="C724" s="24" t="s">
        <v>971</v>
      </c>
      <c r="D724" s="24" t="s">
        <v>1176</v>
      </c>
      <c r="E724" s="24"/>
      <c r="F724" s="25"/>
      <c r="G724" s="26">
        <f>SUM(G727+G730+G725)</f>
        <v>0</v>
      </c>
      <c r="H724" s="26">
        <f>SUM(H727+H730+H725)</f>
        <v>1344.5</v>
      </c>
      <c r="I724" s="26" t="e">
        <f t="shared" si="21"/>
        <v>#DIV/0!</v>
      </c>
      <c r="J724"/>
    </row>
    <row r="725" spans="1:10" ht="15" hidden="1">
      <c r="A725" s="41" t="s">
        <v>638</v>
      </c>
      <c r="B725" s="23"/>
      <c r="C725" s="24" t="s">
        <v>971</v>
      </c>
      <c r="D725" s="24" t="s">
        <v>1176</v>
      </c>
      <c r="E725" s="37" t="s">
        <v>639</v>
      </c>
      <c r="F725" s="28"/>
      <c r="G725" s="26">
        <f>SUM(G726)</f>
        <v>0</v>
      </c>
      <c r="H725" s="26">
        <f>SUM(H726)</f>
        <v>79.5</v>
      </c>
      <c r="I725" s="26"/>
      <c r="J725"/>
    </row>
    <row r="726" spans="1:10" ht="15" hidden="1">
      <c r="A726" s="27" t="s">
        <v>1147</v>
      </c>
      <c r="B726" s="23"/>
      <c r="C726" s="24" t="s">
        <v>971</v>
      </c>
      <c r="D726" s="24" t="s">
        <v>1176</v>
      </c>
      <c r="E726" s="37" t="s">
        <v>639</v>
      </c>
      <c r="F726" s="28" t="s">
        <v>1148</v>
      </c>
      <c r="G726" s="26"/>
      <c r="H726" s="26">
        <v>79.5</v>
      </c>
      <c r="I726" s="26"/>
      <c r="J726"/>
    </row>
    <row r="727" spans="1:10" ht="28.5" hidden="1">
      <c r="A727" s="35" t="s">
        <v>104</v>
      </c>
      <c r="B727" s="23"/>
      <c r="C727" s="24" t="s">
        <v>971</v>
      </c>
      <c r="D727" s="24" t="s">
        <v>1176</v>
      </c>
      <c r="E727" s="46" t="s">
        <v>63</v>
      </c>
      <c r="F727" s="25"/>
      <c r="G727" s="26">
        <f>SUM(G728)</f>
        <v>0</v>
      </c>
      <c r="H727" s="26">
        <f>SUM(H728)</f>
        <v>1265</v>
      </c>
      <c r="I727" s="26" t="e">
        <f t="shared" si="21"/>
        <v>#DIV/0!</v>
      </c>
      <c r="J727"/>
    </row>
    <row r="728" spans="1:10" ht="26.25" customHeight="1" hidden="1">
      <c r="A728" s="35" t="s">
        <v>574</v>
      </c>
      <c r="B728" s="23"/>
      <c r="C728" s="24" t="s">
        <v>971</v>
      </c>
      <c r="D728" s="24" t="s">
        <v>1176</v>
      </c>
      <c r="E728" s="46" t="s">
        <v>64</v>
      </c>
      <c r="F728" s="25"/>
      <c r="G728" s="26">
        <f>SUM(G729)</f>
        <v>0</v>
      </c>
      <c r="H728" s="26">
        <f>SUM(H729)</f>
        <v>1265</v>
      </c>
      <c r="I728" s="26" t="e">
        <f t="shared" si="21"/>
        <v>#DIV/0!</v>
      </c>
      <c r="J728"/>
    </row>
    <row r="729" spans="1:10" ht="15" customHeight="1" hidden="1">
      <c r="A729" s="27" t="s">
        <v>1147</v>
      </c>
      <c r="B729" s="23"/>
      <c r="C729" s="24" t="s">
        <v>971</v>
      </c>
      <c r="D729" s="24" t="s">
        <v>1176</v>
      </c>
      <c r="E729" s="46" t="s">
        <v>64</v>
      </c>
      <c r="F729" s="25" t="s">
        <v>1148</v>
      </c>
      <c r="G729" s="26"/>
      <c r="H729" s="26">
        <v>1265</v>
      </c>
      <c r="I729" s="26" t="e">
        <f t="shared" si="21"/>
        <v>#DIV/0!</v>
      </c>
      <c r="J729"/>
    </row>
    <row r="730" spans="1:10" ht="15" hidden="1">
      <c r="A730" s="268" t="s">
        <v>1186</v>
      </c>
      <c r="B730" s="36"/>
      <c r="C730" s="24" t="s">
        <v>971</v>
      </c>
      <c r="D730" s="24" t="s">
        <v>1176</v>
      </c>
      <c r="E730" s="37" t="s">
        <v>1187</v>
      </c>
      <c r="F730" s="28"/>
      <c r="G730" s="26">
        <f>SUM(G731)</f>
        <v>0</v>
      </c>
      <c r="H730" s="26">
        <f>SUM(H731)</f>
        <v>0</v>
      </c>
      <c r="I730" s="26" t="e">
        <f>SUM(H730/G730*100)</f>
        <v>#DIV/0!</v>
      </c>
      <c r="J730"/>
    </row>
    <row r="731" spans="1:10" ht="15.75" customHeight="1" hidden="1">
      <c r="A731" s="27" t="s">
        <v>1147</v>
      </c>
      <c r="B731" s="83"/>
      <c r="C731" s="24" t="s">
        <v>971</v>
      </c>
      <c r="D731" s="24" t="s">
        <v>1176</v>
      </c>
      <c r="E731" s="57" t="s">
        <v>1187</v>
      </c>
      <c r="F731" s="29" t="s">
        <v>1148</v>
      </c>
      <c r="G731" s="26">
        <f>SUM(G732)</f>
        <v>0</v>
      </c>
      <c r="H731" s="26">
        <f>SUM(H732)</f>
        <v>0</v>
      </c>
      <c r="I731" s="26" t="e">
        <f>SUM(H731/G731*100)</f>
        <v>#DIV/0!</v>
      </c>
      <c r="J731"/>
    </row>
    <row r="732" spans="1:10" ht="28.5" customHeight="1" hidden="1">
      <c r="A732" s="27" t="s">
        <v>105</v>
      </c>
      <c r="B732" s="23"/>
      <c r="C732" s="24" t="s">
        <v>971</v>
      </c>
      <c r="D732" s="24" t="s">
        <v>1176</v>
      </c>
      <c r="E732" s="57" t="s">
        <v>106</v>
      </c>
      <c r="F732" s="29" t="s">
        <v>1148</v>
      </c>
      <c r="G732" s="26">
        <f>1738.6-1738.6</f>
        <v>0</v>
      </c>
      <c r="H732" s="26">
        <f>1738.6-1738.6</f>
        <v>0</v>
      </c>
      <c r="I732" s="26" t="e">
        <f>SUM(H732/G732*100)</f>
        <v>#DIV/0!</v>
      </c>
      <c r="J732"/>
    </row>
    <row r="733" spans="1:10" ht="15">
      <c r="A733" s="35" t="s">
        <v>115</v>
      </c>
      <c r="B733" s="23"/>
      <c r="C733" s="37" t="s">
        <v>971</v>
      </c>
      <c r="D733" s="37" t="s">
        <v>971</v>
      </c>
      <c r="E733" s="37"/>
      <c r="F733" s="28"/>
      <c r="G733" s="26">
        <f>SUM(G734+G742+G749+G751+G747+G737+G739)</f>
        <v>11649.5</v>
      </c>
      <c r="H733" s="26">
        <f>SUM(H734+H742+H749+H751+H747)</f>
        <v>9403.5</v>
      </c>
      <c r="I733" s="26">
        <f>SUM(H733/G733*100)</f>
        <v>80.72020258380188</v>
      </c>
      <c r="J733"/>
    </row>
    <row r="734" spans="1:10" ht="30.75" customHeight="1" hidden="1">
      <c r="A734" s="27" t="s">
        <v>1143</v>
      </c>
      <c r="B734" s="23"/>
      <c r="C734" s="37" t="s">
        <v>971</v>
      </c>
      <c r="D734" s="37" t="s">
        <v>971</v>
      </c>
      <c r="E734" s="24" t="s">
        <v>1144</v>
      </c>
      <c r="F734" s="28"/>
      <c r="G734" s="26">
        <f>SUM(G735)</f>
        <v>0</v>
      </c>
      <c r="H734" s="161"/>
      <c r="I734" s="26"/>
      <c r="J734"/>
    </row>
    <row r="735" spans="1:10" ht="20.25" customHeight="1" hidden="1">
      <c r="A735" s="27" t="s">
        <v>1151</v>
      </c>
      <c r="B735" s="23"/>
      <c r="C735" s="37" t="s">
        <v>971</v>
      </c>
      <c r="D735" s="37" t="s">
        <v>971</v>
      </c>
      <c r="E735" s="24" t="s">
        <v>1153</v>
      </c>
      <c r="F735" s="28"/>
      <c r="G735" s="26">
        <f>SUM(G736)</f>
        <v>0</v>
      </c>
      <c r="H735" s="161"/>
      <c r="I735" s="26"/>
      <c r="J735"/>
    </row>
    <row r="736" spans="1:10" ht="21.75" customHeight="1" hidden="1">
      <c r="A736" s="27" t="s">
        <v>1147</v>
      </c>
      <c r="B736" s="23"/>
      <c r="C736" s="37" t="s">
        <v>971</v>
      </c>
      <c r="D736" s="37" t="s">
        <v>971</v>
      </c>
      <c r="E736" s="24" t="s">
        <v>1153</v>
      </c>
      <c r="F736" s="25" t="s">
        <v>1148</v>
      </c>
      <c r="G736" s="26"/>
      <c r="H736" s="161"/>
      <c r="I736" s="26"/>
      <c r="J736"/>
    </row>
    <row r="737" spans="1:10" ht="15" hidden="1">
      <c r="A737" s="41" t="s">
        <v>638</v>
      </c>
      <c r="B737" s="23"/>
      <c r="C737" s="37" t="s">
        <v>971</v>
      </c>
      <c r="D737" s="37" t="s">
        <v>971</v>
      </c>
      <c r="E737" s="37" t="s">
        <v>639</v>
      </c>
      <c r="F737" s="28"/>
      <c r="G737" s="26">
        <f>SUM(G738)</f>
        <v>0</v>
      </c>
      <c r="H737" s="26">
        <f>SUM(H738)</f>
        <v>79.5</v>
      </c>
      <c r="I737" s="26"/>
      <c r="J737"/>
    </row>
    <row r="738" spans="1:10" ht="15" hidden="1">
      <c r="A738" s="27" t="s">
        <v>1147</v>
      </c>
      <c r="B738" s="23"/>
      <c r="C738" s="37" t="s">
        <v>971</v>
      </c>
      <c r="D738" s="37" t="s">
        <v>971</v>
      </c>
      <c r="E738" s="37" t="s">
        <v>639</v>
      </c>
      <c r="F738" s="28" t="s">
        <v>1148</v>
      </c>
      <c r="G738" s="26"/>
      <c r="H738" s="26">
        <v>79.5</v>
      </c>
      <c r="I738" s="26"/>
      <c r="J738"/>
    </row>
    <row r="739" spans="1:10" ht="28.5" hidden="1">
      <c r="A739" s="38" t="s">
        <v>1158</v>
      </c>
      <c r="B739" s="23"/>
      <c r="C739" s="37" t="s">
        <v>971</v>
      </c>
      <c r="D739" s="37" t="s">
        <v>971</v>
      </c>
      <c r="E739" s="24" t="s">
        <v>1159</v>
      </c>
      <c r="F739" s="29"/>
      <c r="G739" s="26">
        <f>SUM(G741)</f>
        <v>0</v>
      </c>
      <c r="H739" s="26">
        <f>SUM(H741)</f>
        <v>186.6</v>
      </c>
      <c r="I739" s="26" t="e">
        <f>SUM(H739/G739*100)</f>
        <v>#DIV/0!</v>
      </c>
      <c r="J739"/>
    </row>
    <row r="740" spans="1:10" ht="15.75" customHeight="1" hidden="1">
      <c r="A740" s="38" t="s">
        <v>1160</v>
      </c>
      <c r="B740" s="23"/>
      <c r="C740" s="37" t="s">
        <v>971</v>
      </c>
      <c r="D740" s="37" t="s">
        <v>971</v>
      </c>
      <c r="E740" s="24" t="s">
        <v>145</v>
      </c>
      <c r="F740" s="29"/>
      <c r="G740" s="26">
        <f>SUM(G741)</f>
        <v>0</v>
      </c>
      <c r="H740" s="26">
        <f>SUM(H741)</f>
        <v>186.6</v>
      </c>
      <c r="I740" s="26" t="e">
        <f>SUM(H740/G740*100)</f>
        <v>#DIV/0!</v>
      </c>
      <c r="J740"/>
    </row>
    <row r="741" spans="1:10" ht="17.25" customHeight="1" hidden="1">
      <c r="A741" s="27" t="s">
        <v>1147</v>
      </c>
      <c r="B741" s="23"/>
      <c r="C741" s="37" t="s">
        <v>971</v>
      </c>
      <c r="D741" s="37" t="s">
        <v>971</v>
      </c>
      <c r="E741" s="24" t="s">
        <v>145</v>
      </c>
      <c r="F741" s="29" t="s">
        <v>1148</v>
      </c>
      <c r="G741" s="26"/>
      <c r="H741" s="26">
        <v>186.6</v>
      </c>
      <c r="I741" s="26" t="e">
        <f>SUM(H741/G741*100)</f>
        <v>#DIV/0!</v>
      </c>
      <c r="J741"/>
    </row>
    <row r="742" spans="1:10" ht="28.5">
      <c r="A742" s="61" t="s">
        <v>366</v>
      </c>
      <c r="B742" s="23"/>
      <c r="C742" s="37" t="s">
        <v>971</v>
      </c>
      <c r="D742" s="37" t="s">
        <v>971</v>
      </c>
      <c r="E742" s="37" t="s">
        <v>367</v>
      </c>
      <c r="F742" s="28"/>
      <c r="G742" s="26">
        <f>SUM(G743)</f>
        <v>9149.5</v>
      </c>
      <c r="H742" s="26">
        <f>SUM(H743)</f>
        <v>6864.8</v>
      </c>
      <c r="I742" s="26">
        <f aca="true" t="shared" si="22" ref="I742:I805">SUM(H742/G742*100)</f>
        <v>75.02923657030439</v>
      </c>
      <c r="J742"/>
    </row>
    <row r="743" spans="1:10" ht="29.25" customHeight="1">
      <c r="A743" s="27" t="s">
        <v>493</v>
      </c>
      <c r="B743" s="23"/>
      <c r="C743" s="37" t="s">
        <v>971</v>
      </c>
      <c r="D743" s="37" t="s">
        <v>971</v>
      </c>
      <c r="E743" s="37" t="s">
        <v>368</v>
      </c>
      <c r="F743" s="28"/>
      <c r="G743" s="26">
        <f>SUM(G744:G745)</f>
        <v>9149.5</v>
      </c>
      <c r="H743" s="26">
        <f>SUM(H744:H745)</f>
        <v>6864.8</v>
      </c>
      <c r="I743" s="26">
        <f t="shared" si="22"/>
        <v>75.02923657030439</v>
      </c>
      <c r="J743"/>
    </row>
    <row r="744" spans="1:13" ht="18.75" customHeight="1">
      <c r="A744" s="41" t="s">
        <v>494</v>
      </c>
      <c r="B744" s="23"/>
      <c r="C744" s="37" t="s">
        <v>971</v>
      </c>
      <c r="D744" s="37" t="s">
        <v>971</v>
      </c>
      <c r="E744" s="37" t="s">
        <v>368</v>
      </c>
      <c r="F744" s="28" t="s">
        <v>142</v>
      </c>
      <c r="G744" s="26">
        <v>9149.5</v>
      </c>
      <c r="H744" s="26">
        <v>6864.8</v>
      </c>
      <c r="I744" s="26">
        <f t="shared" si="22"/>
        <v>75.02923657030439</v>
      </c>
      <c r="J744" s="180">
        <f>SUM('[1]ведомствен.2012'!G1334)+'[1]ведомствен.2012'!G737</f>
        <v>9149.5</v>
      </c>
      <c r="M744" s="180" t="e">
        <f>SUM(#REF!)</f>
        <v>#REF!</v>
      </c>
    </row>
    <row r="745" spans="1:10" ht="18" customHeight="1" hidden="1">
      <c r="A745" s="27" t="s">
        <v>511</v>
      </c>
      <c r="B745" s="23"/>
      <c r="C745" s="37" t="s">
        <v>971</v>
      </c>
      <c r="D745" s="37" t="s">
        <v>971</v>
      </c>
      <c r="E745" s="37" t="s">
        <v>368</v>
      </c>
      <c r="F745" s="28" t="s">
        <v>123</v>
      </c>
      <c r="G745" s="26"/>
      <c r="H745" s="26"/>
      <c r="I745" s="26" t="e">
        <f t="shared" si="22"/>
        <v>#DIV/0!</v>
      </c>
      <c r="J745"/>
    </row>
    <row r="746" spans="1:10" ht="15" customHeight="1" hidden="1">
      <c r="A746" s="27" t="s">
        <v>990</v>
      </c>
      <c r="B746" s="23"/>
      <c r="C746" s="37" t="s">
        <v>971</v>
      </c>
      <c r="D746" s="37" t="s">
        <v>971</v>
      </c>
      <c r="E746" s="37" t="s">
        <v>991</v>
      </c>
      <c r="F746" s="28"/>
      <c r="G746" s="26">
        <f>SUM(G747+G749)</f>
        <v>0</v>
      </c>
      <c r="H746" s="26">
        <f>SUM(H747+H749)</f>
        <v>0</v>
      </c>
      <c r="I746" s="26" t="e">
        <f t="shared" si="22"/>
        <v>#DIV/0!</v>
      </c>
      <c r="J746"/>
    </row>
    <row r="747" spans="1:10" ht="29.25" customHeight="1" hidden="1">
      <c r="A747" s="41" t="s">
        <v>925</v>
      </c>
      <c r="B747" s="56"/>
      <c r="C747" s="37" t="s">
        <v>971</v>
      </c>
      <c r="D747" s="37" t="s">
        <v>971</v>
      </c>
      <c r="E747" s="37" t="s">
        <v>926</v>
      </c>
      <c r="F747" s="29"/>
      <c r="G747" s="26">
        <f>SUM(G748)</f>
        <v>0</v>
      </c>
      <c r="H747" s="26">
        <f>SUM(H748)</f>
        <v>0</v>
      </c>
      <c r="I747" s="26" t="e">
        <f t="shared" si="22"/>
        <v>#DIV/0!</v>
      </c>
      <c r="J747"/>
    </row>
    <row r="748" spans="1:10" ht="29.25" customHeight="1" hidden="1">
      <c r="A748" s="27" t="s">
        <v>574</v>
      </c>
      <c r="B748" s="56"/>
      <c r="C748" s="37" t="s">
        <v>971</v>
      </c>
      <c r="D748" s="37" t="s">
        <v>971</v>
      </c>
      <c r="E748" s="37" t="s">
        <v>926</v>
      </c>
      <c r="F748" s="29" t="s">
        <v>924</v>
      </c>
      <c r="G748" s="26"/>
      <c r="H748" s="26"/>
      <c r="I748" s="26" t="e">
        <f t="shared" si="22"/>
        <v>#DIV/0!</v>
      </c>
      <c r="J748"/>
    </row>
    <row r="749" spans="1:10" ht="31.5" customHeight="1" hidden="1">
      <c r="A749" s="27" t="s">
        <v>107</v>
      </c>
      <c r="B749" s="23"/>
      <c r="C749" s="37" t="s">
        <v>971</v>
      </c>
      <c r="D749" s="37" t="s">
        <v>971</v>
      </c>
      <c r="E749" s="37" t="s">
        <v>108</v>
      </c>
      <c r="F749" s="28"/>
      <c r="G749" s="26">
        <f>SUM(G750)</f>
        <v>0</v>
      </c>
      <c r="H749" s="26">
        <f>SUM(H750)</f>
        <v>0</v>
      </c>
      <c r="I749" s="26" t="e">
        <f t="shared" si="22"/>
        <v>#DIV/0!</v>
      </c>
      <c r="J749"/>
    </row>
    <row r="750" spans="1:10" ht="28.5" customHeight="1" hidden="1">
      <c r="A750" s="27" t="s">
        <v>574</v>
      </c>
      <c r="B750" s="23"/>
      <c r="C750" s="37" t="s">
        <v>971</v>
      </c>
      <c r="D750" s="37" t="s">
        <v>971</v>
      </c>
      <c r="E750" s="37" t="s">
        <v>108</v>
      </c>
      <c r="F750" s="28" t="s">
        <v>924</v>
      </c>
      <c r="G750" s="26"/>
      <c r="H750" s="26"/>
      <c r="I750" s="26" t="e">
        <f t="shared" si="22"/>
        <v>#DIV/0!</v>
      </c>
      <c r="J750"/>
    </row>
    <row r="751" spans="1:10" ht="17.25" customHeight="1">
      <c r="A751" s="268" t="s">
        <v>1186</v>
      </c>
      <c r="B751" s="36"/>
      <c r="C751" s="37" t="s">
        <v>971</v>
      </c>
      <c r="D751" s="37" t="s">
        <v>971</v>
      </c>
      <c r="E751" s="37" t="s">
        <v>1187</v>
      </c>
      <c r="F751" s="28"/>
      <c r="G751" s="26">
        <f>SUM(G757,G770,G758)+G761</f>
        <v>2500</v>
      </c>
      <c r="H751" s="26">
        <f>SUM(H753+H764)+H762+H763+H769+H770</f>
        <v>2538.7</v>
      </c>
      <c r="I751" s="26">
        <f t="shared" si="22"/>
        <v>101.54799999999999</v>
      </c>
      <c r="J751"/>
    </row>
    <row r="752" spans="1:10" ht="27" customHeight="1" hidden="1">
      <c r="A752" s="35" t="s">
        <v>574</v>
      </c>
      <c r="B752" s="36"/>
      <c r="C752" s="37" t="s">
        <v>971</v>
      </c>
      <c r="D752" s="37" t="s">
        <v>971</v>
      </c>
      <c r="E752" s="37" t="s">
        <v>1187</v>
      </c>
      <c r="F752" s="28" t="s">
        <v>924</v>
      </c>
      <c r="G752" s="26"/>
      <c r="H752" s="26"/>
      <c r="I752" s="26" t="e">
        <f t="shared" si="22"/>
        <v>#DIV/0!</v>
      </c>
      <c r="J752"/>
    </row>
    <row r="753" spans="1:10" ht="15" customHeight="1" hidden="1">
      <c r="A753" s="35" t="s">
        <v>109</v>
      </c>
      <c r="B753" s="36"/>
      <c r="C753" s="37" t="s">
        <v>971</v>
      </c>
      <c r="D753" s="37" t="s">
        <v>971</v>
      </c>
      <c r="E753" s="37" t="s">
        <v>110</v>
      </c>
      <c r="F753" s="28"/>
      <c r="G753" s="26">
        <f>SUM(G754:G755)</f>
        <v>0</v>
      </c>
      <c r="H753" s="26">
        <f>SUM(H754:H755)</f>
        <v>0</v>
      </c>
      <c r="I753" s="26" t="e">
        <f t="shared" si="22"/>
        <v>#DIV/0!</v>
      </c>
      <c r="J753"/>
    </row>
    <row r="754" spans="1:10" ht="15" customHeight="1" hidden="1">
      <c r="A754" s="262" t="s">
        <v>261</v>
      </c>
      <c r="B754" s="23"/>
      <c r="C754" s="37" t="s">
        <v>971</v>
      </c>
      <c r="D754" s="37" t="s">
        <v>971</v>
      </c>
      <c r="E754" s="37" t="s">
        <v>110</v>
      </c>
      <c r="F754" s="28" t="s">
        <v>199</v>
      </c>
      <c r="G754" s="26"/>
      <c r="H754" s="26"/>
      <c r="I754" s="26" t="e">
        <f t="shared" si="22"/>
        <v>#DIV/0!</v>
      </c>
      <c r="J754"/>
    </row>
    <row r="755" spans="1:9" s="85" customFormat="1" ht="21.75" customHeight="1" hidden="1">
      <c r="A755" s="35" t="s">
        <v>574</v>
      </c>
      <c r="B755" s="107"/>
      <c r="C755" s="37" t="s">
        <v>971</v>
      </c>
      <c r="D755" s="37" t="s">
        <v>971</v>
      </c>
      <c r="E755" s="37" t="s">
        <v>110</v>
      </c>
      <c r="F755" s="28" t="s">
        <v>924</v>
      </c>
      <c r="G755" s="54"/>
      <c r="H755" s="54"/>
      <c r="I755" s="26" t="e">
        <f t="shared" si="22"/>
        <v>#DIV/0!</v>
      </c>
    </row>
    <row r="756" spans="1:10" ht="18.75" customHeight="1" hidden="1">
      <c r="A756" s="27" t="s">
        <v>1147</v>
      </c>
      <c r="B756" s="83"/>
      <c r="C756" s="37" t="s">
        <v>971</v>
      </c>
      <c r="D756" s="37" t="s">
        <v>971</v>
      </c>
      <c r="E756" s="37" t="s">
        <v>110</v>
      </c>
      <c r="F756" s="29" t="s">
        <v>1148</v>
      </c>
      <c r="G756" s="26"/>
      <c r="H756" s="26"/>
      <c r="I756" s="26" t="e">
        <f t="shared" si="22"/>
        <v>#DIV/0!</v>
      </c>
      <c r="J756"/>
    </row>
    <row r="757" spans="1:10" ht="27.75" customHeight="1" hidden="1">
      <c r="A757" s="35" t="s">
        <v>574</v>
      </c>
      <c r="B757" s="83"/>
      <c r="C757" s="37" t="s">
        <v>971</v>
      </c>
      <c r="D757" s="37" t="s">
        <v>971</v>
      </c>
      <c r="E757" s="33" t="s">
        <v>1187</v>
      </c>
      <c r="F757" s="103" t="s">
        <v>924</v>
      </c>
      <c r="G757" s="26">
        <f>SUM(G762,G763,G769)</f>
        <v>0</v>
      </c>
      <c r="H757" s="26">
        <f>SUM(H762,H763,H769)</f>
        <v>1496.4</v>
      </c>
      <c r="I757" s="26" t="e">
        <f t="shared" si="22"/>
        <v>#DIV/0!</v>
      </c>
      <c r="J757"/>
    </row>
    <row r="758" spans="1:10" ht="43.5" customHeight="1" hidden="1">
      <c r="A758" s="35" t="s">
        <v>964</v>
      </c>
      <c r="B758" s="107"/>
      <c r="C758" s="37" t="s">
        <v>971</v>
      </c>
      <c r="D758" s="37" t="s">
        <v>971</v>
      </c>
      <c r="E758" s="37" t="s">
        <v>965</v>
      </c>
      <c r="F758" s="28"/>
      <c r="G758" s="54">
        <f>SUM(G759)</f>
        <v>0</v>
      </c>
      <c r="H758" s="54"/>
      <c r="I758" s="26"/>
      <c r="J758"/>
    </row>
    <row r="759" spans="1:10" ht="19.5" customHeight="1" hidden="1">
      <c r="A759" s="35" t="s">
        <v>1001</v>
      </c>
      <c r="B759" s="107"/>
      <c r="C759" s="37" t="s">
        <v>971</v>
      </c>
      <c r="D759" s="37" t="s">
        <v>971</v>
      </c>
      <c r="E759" s="37" t="s">
        <v>965</v>
      </c>
      <c r="F759" s="28" t="s">
        <v>1002</v>
      </c>
      <c r="G759" s="54"/>
      <c r="H759" s="54"/>
      <c r="I759" s="26"/>
      <c r="J759"/>
    </row>
    <row r="760" spans="1:10" ht="59.25" customHeight="1">
      <c r="A760" s="285" t="s">
        <v>667</v>
      </c>
      <c r="B760" s="107"/>
      <c r="C760" s="37" t="s">
        <v>971</v>
      </c>
      <c r="D760" s="37" t="s">
        <v>971</v>
      </c>
      <c r="E760" s="37" t="s">
        <v>668</v>
      </c>
      <c r="F760" s="28"/>
      <c r="G760" s="54">
        <f>SUM(G761)</f>
        <v>2500</v>
      </c>
      <c r="H760" s="54"/>
      <c r="I760" s="26"/>
      <c r="J760"/>
    </row>
    <row r="761" spans="1:10" ht="28.5" customHeight="1">
      <c r="A761" s="289" t="s">
        <v>316</v>
      </c>
      <c r="B761" s="23"/>
      <c r="C761" s="37" t="s">
        <v>971</v>
      </c>
      <c r="D761" s="37" t="s">
        <v>971</v>
      </c>
      <c r="E761" s="37" t="s">
        <v>668</v>
      </c>
      <c r="F761" s="29" t="s">
        <v>772</v>
      </c>
      <c r="G761" s="26">
        <v>2500</v>
      </c>
      <c r="H761" s="26">
        <v>340</v>
      </c>
      <c r="I761" s="26">
        <f>SUM(H761/G761*100)</f>
        <v>13.600000000000001</v>
      </c>
      <c r="J761">
        <f>SUM('[1]ведомствен.2012'!G1347)</f>
        <v>2500</v>
      </c>
    </row>
    <row r="762" spans="1:13" s="104" customFormat="1" ht="42.75" hidden="1">
      <c r="A762" s="99" t="s">
        <v>601</v>
      </c>
      <c r="B762" s="108"/>
      <c r="C762" s="37" t="s">
        <v>971</v>
      </c>
      <c r="D762" s="37" t="s">
        <v>971</v>
      </c>
      <c r="E762" s="33" t="s">
        <v>602</v>
      </c>
      <c r="F762" s="103" t="s">
        <v>924</v>
      </c>
      <c r="G762" s="54"/>
      <c r="H762" s="54">
        <v>1424.2</v>
      </c>
      <c r="I762" s="26" t="e">
        <f t="shared" si="22"/>
        <v>#DIV/0!</v>
      </c>
      <c r="J762" s="185"/>
      <c r="M762" s="185" t="e">
        <f>SUM(#REF!)</f>
        <v>#REF!</v>
      </c>
    </row>
    <row r="763" spans="1:13" s="104" customFormat="1" ht="26.25" customHeight="1" hidden="1">
      <c r="A763" s="99" t="s">
        <v>603</v>
      </c>
      <c r="B763" s="108"/>
      <c r="C763" s="37" t="s">
        <v>971</v>
      </c>
      <c r="D763" s="37" t="s">
        <v>971</v>
      </c>
      <c r="E763" s="33" t="s">
        <v>604</v>
      </c>
      <c r="F763" s="103" t="s">
        <v>924</v>
      </c>
      <c r="G763" s="54"/>
      <c r="H763" s="54">
        <v>67.2</v>
      </c>
      <c r="I763" s="26" t="e">
        <f t="shared" si="22"/>
        <v>#DIV/0!</v>
      </c>
      <c r="J763" s="185"/>
      <c r="M763" s="185" t="e">
        <f>SUM(#REF!)</f>
        <v>#REF!</v>
      </c>
    </row>
    <row r="764" spans="1:9" s="104" customFormat="1" ht="28.5" hidden="1">
      <c r="A764" s="99" t="s">
        <v>605</v>
      </c>
      <c r="B764" s="108"/>
      <c r="C764" s="37" t="s">
        <v>971</v>
      </c>
      <c r="D764" s="37" t="s">
        <v>971</v>
      </c>
      <c r="E764" s="33" t="s">
        <v>303</v>
      </c>
      <c r="F764" s="103" t="s">
        <v>924</v>
      </c>
      <c r="G764" s="54"/>
      <c r="H764" s="54"/>
      <c r="I764" s="26" t="e">
        <f t="shared" si="22"/>
        <v>#DIV/0!</v>
      </c>
    </row>
    <row r="765" spans="1:9" s="104" customFormat="1" ht="28.5" hidden="1">
      <c r="A765" s="99" t="s">
        <v>304</v>
      </c>
      <c r="B765" s="108"/>
      <c r="C765" s="37" t="s">
        <v>971</v>
      </c>
      <c r="D765" s="37" t="s">
        <v>971</v>
      </c>
      <c r="E765" s="33" t="s">
        <v>305</v>
      </c>
      <c r="F765" s="103" t="s">
        <v>924</v>
      </c>
      <c r="G765" s="54"/>
      <c r="H765" s="54"/>
      <c r="I765" s="26" t="e">
        <f t="shared" si="22"/>
        <v>#DIV/0!</v>
      </c>
    </row>
    <row r="766" spans="1:9" s="104" customFormat="1" ht="28.5" hidden="1">
      <c r="A766" s="35" t="s">
        <v>574</v>
      </c>
      <c r="B766" s="23"/>
      <c r="C766" s="37" t="s">
        <v>971</v>
      </c>
      <c r="D766" s="37" t="s">
        <v>971</v>
      </c>
      <c r="E766" s="37" t="s">
        <v>608</v>
      </c>
      <c r="F766" s="103" t="s">
        <v>924</v>
      </c>
      <c r="G766" s="54"/>
      <c r="H766" s="54"/>
      <c r="I766" s="26" t="e">
        <f t="shared" si="22"/>
        <v>#DIV/0!</v>
      </c>
    </row>
    <row r="767" spans="1:9" s="104" customFormat="1" ht="57" hidden="1">
      <c r="A767" s="267" t="s">
        <v>700</v>
      </c>
      <c r="B767" s="23"/>
      <c r="C767" s="37" t="s">
        <v>971</v>
      </c>
      <c r="D767" s="37" t="s">
        <v>971</v>
      </c>
      <c r="E767" s="37" t="s">
        <v>701</v>
      </c>
      <c r="F767" s="103" t="s">
        <v>924</v>
      </c>
      <c r="G767" s="54">
        <f>SUM('[2]Ведомств.'!F701)</f>
        <v>0</v>
      </c>
      <c r="H767" s="54">
        <f>SUM('[2]Ведомств.'!G701)</f>
        <v>0</v>
      </c>
      <c r="I767" s="26" t="e">
        <f t="shared" si="22"/>
        <v>#DIV/0!</v>
      </c>
    </row>
    <row r="768" spans="1:9" s="104" customFormat="1" ht="30.75" customHeight="1" hidden="1">
      <c r="A768" s="267" t="s">
        <v>702</v>
      </c>
      <c r="B768" s="23"/>
      <c r="C768" s="37" t="s">
        <v>971</v>
      </c>
      <c r="D768" s="37" t="s">
        <v>971</v>
      </c>
      <c r="E768" s="37" t="s">
        <v>110</v>
      </c>
      <c r="F768" s="103"/>
      <c r="G768" s="54">
        <f>SUM(G769)</f>
        <v>0</v>
      </c>
      <c r="H768" s="54">
        <f>SUM(H769)</f>
        <v>5</v>
      </c>
      <c r="I768" s="26" t="e">
        <f t="shared" si="22"/>
        <v>#DIV/0!</v>
      </c>
    </row>
    <row r="769" spans="1:9" s="104" customFormat="1" ht="30.75" customHeight="1" hidden="1">
      <c r="A769" s="267" t="s">
        <v>574</v>
      </c>
      <c r="B769" s="23"/>
      <c r="C769" s="37" t="s">
        <v>971</v>
      </c>
      <c r="D769" s="37" t="s">
        <v>971</v>
      </c>
      <c r="E769" s="37" t="s">
        <v>110</v>
      </c>
      <c r="F769" s="103" t="s">
        <v>924</v>
      </c>
      <c r="G769" s="54"/>
      <c r="H769" s="54">
        <v>5</v>
      </c>
      <c r="I769" s="26" t="e">
        <f t="shared" si="22"/>
        <v>#DIV/0!</v>
      </c>
    </row>
    <row r="770" spans="1:9" s="104" customFormat="1" ht="30.75" customHeight="1" hidden="1">
      <c r="A770" s="267" t="s">
        <v>703</v>
      </c>
      <c r="B770" s="23"/>
      <c r="C770" s="37" t="s">
        <v>971</v>
      </c>
      <c r="D770" s="37" t="s">
        <v>971</v>
      </c>
      <c r="E770" s="37" t="s">
        <v>469</v>
      </c>
      <c r="F770" s="103"/>
      <c r="G770" s="54">
        <f>SUM(G771)</f>
        <v>0</v>
      </c>
      <c r="H770" s="54">
        <f>SUM(H771)</f>
        <v>1042.3</v>
      </c>
      <c r="I770" s="26" t="e">
        <f t="shared" si="22"/>
        <v>#DIV/0!</v>
      </c>
    </row>
    <row r="771" spans="1:9" s="104" customFormat="1" ht="21.75" customHeight="1" hidden="1">
      <c r="A771" s="267" t="s">
        <v>198</v>
      </c>
      <c r="B771" s="23"/>
      <c r="C771" s="37" t="s">
        <v>971</v>
      </c>
      <c r="D771" s="37" t="s">
        <v>971</v>
      </c>
      <c r="E771" s="37" t="s">
        <v>469</v>
      </c>
      <c r="F771" s="103" t="s">
        <v>199</v>
      </c>
      <c r="G771" s="54"/>
      <c r="H771" s="54">
        <v>1042.3</v>
      </c>
      <c r="I771" s="26" t="e">
        <f t="shared" si="22"/>
        <v>#DIV/0!</v>
      </c>
    </row>
    <row r="772" spans="1:13" s="109" customFormat="1" ht="21.75" customHeight="1">
      <c r="A772" s="263" t="s">
        <v>704</v>
      </c>
      <c r="B772" s="42"/>
      <c r="C772" s="59" t="s">
        <v>998</v>
      </c>
      <c r="D772" s="59" t="s">
        <v>705</v>
      </c>
      <c r="E772" s="59"/>
      <c r="F772" s="60"/>
      <c r="G772" s="45">
        <f>SUM(G773+G777+G788+G892+G911)</f>
        <v>808861.2</v>
      </c>
      <c r="H772" s="45" t="e">
        <f>SUM(H773+H777+H788+H892+H911)</f>
        <v>#REF!</v>
      </c>
      <c r="I772" s="45" t="e">
        <f t="shared" si="22"/>
        <v>#REF!</v>
      </c>
      <c r="K772" s="109">
        <f>SUM(J773:J929)</f>
        <v>807861.1999999998</v>
      </c>
      <c r="M772" s="109" t="e">
        <f>SUM(#REF!+#REF!+#REF!+#REF!)</f>
        <v>#REF!</v>
      </c>
    </row>
    <row r="773" spans="1:9" s="39" customFormat="1" ht="15">
      <c r="A773" s="99" t="s">
        <v>706</v>
      </c>
      <c r="B773" s="23"/>
      <c r="C773" s="84" t="s">
        <v>998</v>
      </c>
      <c r="D773" s="84" t="s">
        <v>1140</v>
      </c>
      <c r="E773" s="84"/>
      <c r="F773" s="49"/>
      <c r="G773" s="54">
        <f aca="true" t="shared" si="23" ref="G773:H775">SUM(G774)</f>
        <v>2739.6</v>
      </c>
      <c r="H773" s="54">
        <f t="shared" si="23"/>
        <v>1203.5</v>
      </c>
      <c r="I773" s="26">
        <f t="shared" si="22"/>
        <v>43.929770769455395</v>
      </c>
    </row>
    <row r="774" spans="1:9" s="39" customFormat="1" ht="28.5">
      <c r="A774" s="76" t="s">
        <v>707</v>
      </c>
      <c r="B774" s="23"/>
      <c r="C774" s="24" t="s">
        <v>998</v>
      </c>
      <c r="D774" s="24" t="s">
        <v>1140</v>
      </c>
      <c r="E774" s="24" t="s">
        <v>708</v>
      </c>
      <c r="F774" s="49"/>
      <c r="G774" s="26">
        <f t="shared" si="23"/>
        <v>2739.6</v>
      </c>
      <c r="H774" s="26">
        <f t="shared" si="23"/>
        <v>1203.5</v>
      </c>
      <c r="I774" s="26">
        <f t="shared" si="22"/>
        <v>43.929770769455395</v>
      </c>
    </row>
    <row r="775" spans="1:9" s="39" customFormat="1" ht="28.5">
      <c r="A775" s="76" t="s">
        <v>709</v>
      </c>
      <c r="B775" s="66"/>
      <c r="C775" s="24" t="s">
        <v>998</v>
      </c>
      <c r="D775" s="24" t="s">
        <v>1140</v>
      </c>
      <c r="E775" s="24" t="s">
        <v>710</v>
      </c>
      <c r="F775" s="49"/>
      <c r="G775" s="26">
        <f t="shared" si="23"/>
        <v>2739.6</v>
      </c>
      <c r="H775" s="26">
        <f t="shared" si="23"/>
        <v>1203.5</v>
      </c>
      <c r="I775" s="26">
        <f t="shared" si="22"/>
        <v>43.929770769455395</v>
      </c>
    </row>
    <row r="776" spans="1:13" s="39" customFormat="1" ht="15">
      <c r="A776" s="35" t="s">
        <v>960</v>
      </c>
      <c r="B776" s="23"/>
      <c r="C776" s="24" t="s">
        <v>998</v>
      </c>
      <c r="D776" s="24" t="s">
        <v>1140</v>
      </c>
      <c r="E776" s="24" t="s">
        <v>710</v>
      </c>
      <c r="F776" s="49" t="s">
        <v>961</v>
      </c>
      <c r="G776" s="26">
        <v>2739.6</v>
      </c>
      <c r="H776" s="26">
        <v>1203.5</v>
      </c>
      <c r="I776" s="26">
        <f t="shared" si="22"/>
        <v>43.929770769455395</v>
      </c>
      <c r="J776" s="182">
        <f>SUM('[1]ведомствен.2012'!G742)</f>
        <v>2739.6</v>
      </c>
      <c r="M776" s="182" t="e">
        <f>SUM(#REF!)</f>
        <v>#REF!</v>
      </c>
    </row>
    <row r="777" spans="1:9" s="39" customFormat="1" ht="15">
      <c r="A777" s="35" t="s">
        <v>711</v>
      </c>
      <c r="B777" s="23"/>
      <c r="C777" s="33" t="s">
        <v>998</v>
      </c>
      <c r="D777" s="33" t="s">
        <v>1142</v>
      </c>
      <c r="E777" s="24"/>
      <c r="F777" s="49"/>
      <c r="G777" s="54">
        <f>SUM(G778+G783)</f>
        <v>32248</v>
      </c>
      <c r="H777" s="54">
        <f>SUM(H778+H783)</f>
        <v>16618.3</v>
      </c>
      <c r="I777" s="26">
        <f t="shared" si="22"/>
        <v>51.53280823616968</v>
      </c>
    </row>
    <row r="778" spans="1:9" s="39" customFormat="1" ht="15" customHeight="1" hidden="1">
      <c r="A778" s="110" t="s">
        <v>306</v>
      </c>
      <c r="B778" s="23"/>
      <c r="C778" s="33" t="s">
        <v>998</v>
      </c>
      <c r="D778" s="33" t="s">
        <v>1142</v>
      </c>
      <c r="E778" s="33" t="s">
        <v>307</v>
      </c>
      <c r="F778" s="103"/>
      <c r="G778" s="54">
        <f>SUM(G779)+G781</f>
        <v>0</v>
      </c>
      <c r="H778" s="54">
        <f>SUM(H779)+H781</f>
        <v>0</v>
      </c>
      <c r="I778" s="26" t="e">
        <f t="shared" si="22"/>
        <v>#DIV/0!</v>
      </c>
    </row>
    <row r="779" spans="1:9" s="39" customFormat="1" ht="42.75" customHeight="1" hidden="1">
      <c r="A779" s="110" t="s">
        <v>1019</v>
      </c>
      <c r="B779" s="23"/>
      <c r="C779" s="37" t="s">
        <v>998</v>
      </c>
      <c r="D779" s="37" t="s">
        <v>1142</v>
      </c>
      <c r="E779" s="37" t="s">
        <v>1020</v>
      </c>
      <c r="F779" s="28"/>
      <c r="G779" s="26">
        <f>SUM(G780)</f>
        <v>0</v>
      </c>
      <c r="H779" s="26">
        <f>SUM(H780)</f>
        <v>0</v>
      </c>
      <c r="I779" s="26" t="e">
        <f t="shared" si="22"/>
        <v>#DIV/0!</v>
      </c>
    </row>
    <row r="780" spans="1:9" s="39" customFormat="1" ht="17.25" customHeight="1" hidden="1">
      <c r="A780" s="262" t="s">
        <v>141</v>
      </c>
      <c r="B780" s="23"/>
      <c r="C780" s="37" t="s">
        <v>998</v>
      </c>
      <c r="D780" s="37" t="s">
        <v>1142</v>
      </c>
      <c r="E780" s="37" t="s">
        <v>1020</v>
      </c>
      <c r="F780" s="103" t="s">
        <v>142</v>
      </c>
      <c r="G780" s="26"/>
      <c r="H780" s="26"/>
      <c r="I780" s="26" t="e">
        <f t="shared" si="22"/>
        <v>#DIV/0!</v>
      </c>
    </row>
    <row r="781" spans="1:9" s="39" customFormat="1" ht="31.5" customHeight="1" hidden="1">
      <c r="A781" s="110" t="s">
        <v>1021</v>
      </c>
      <c r="B781" s="23"/>
      <c r="C781" s="37" t="s">
        <v>998</v>
      </c>
      <c r="D781" s="37" t="s">
        <v>1142</v>
      </c>
      <c r="E781" s="37" t="s">
        <v>1022</v>
      </c>
      <c r="F781" s="28"/>
      <c r="G781" s="26">
        <f>SUM(G782)</f>
        <v>0</v>
      </c>
      <c r="H781" s="26">
        <f>SUM(H782)</f>
        <v>0</v>
      </c>
      <c r="I781" s="26" t="e">
        <f t="shared" si="22"/>
        <v>#DIV/0!</v>
      </c>
    </row>
    <row r="782" spans="1:9" s="39" customFormat="1" ht="18.75" customHeight="1" hidden="1">
      <c r="A782" s="262" t="s">
        <v>141</v>
      </c>
      <c r="B782" s="23"/>
      <c r="C782" s="37" t="s">
        <v>998</v>
      </c>
      <c r="D782" s="37" t="s">
        <v>1142</v>
      </c>
      <c r="E782" s="37" t="s">
        <v>1022</v>
      </c>
      <c r="F782" s="103" t="s">
        <v>142</v>
      </c>
      <c r="G782" s="26"/>
      <c r="H782" s="26"/>
      <c r="I782" s="26" t="e">
        <f t="shared" si="22"/>
        <v>#DIV/0!</v>
      </c>
    </row>
    <row r="783" spans="1:9" s="39" customFormat="1" ht="18.75" customHeight="1">
      <c r="A783" s="110" t="s">
        <v>306</v>
      </c>
      <c r="B783" s="23"/>
      <c r="C783" s="33" t="s">
        <v>998</v>
      </c>
      <c r="D783" s="33" t="s">
        <v>1142</v>
      </c>
      <c r="E783" s="33" t="s">
        <v>1023</v>
      </c>
      <c r="F783" s="103"/>
      <c r="G783" s="26">
        <f>SUM(G784)</f>
        <v>32248</v>
      </c>
      <c r="H783" s="26">
        <f>SUM(H784+H786)</f>
        <v>16618.3</v>
      </c>
      <c r="I783" s="26">
        <f t="shared" si="22"/>
        <v>51.53280823616968</v>
      </c>
    </row>
    <row r="784" spans="1:9" s="39" customFormat="1" ht="28.5">
      <c r="A784" s="27" t="s">
        <v>493</v>
      </c>
      <c r="B784" s="23"/>
      <c r="C784" s="37" t="s">
        <v>998</v>
      </c>
      <c r="D784" s="37" t="s">
        <v>1142</v>
      </c>
      <c r="E784" s="37" t="s">
        <v>1024</v>
      </c>
      <c r="F784" s="103"/>
      <c r="G784" s="26">
        <f>SUM(G785,G787)</f>
        <v>32248</v>
      </c>
      <c r="H784" s="26">
        <f>SUM(H785)</f>
        <v>0</v>
      </c>
      <c r="I784" s="26">
        <f t="shared" si="22"/>
        <v>0</v>
      </c>
    </row>
    <row r="785" spans="1:10" s="39" customFormat="1" ht="15">
      <c r="A785" s="262" t="s">
        <v>494</v>
      </c>
      <c r="B785" s="23"/>
      <c r="C785" s="37" t="s">
        <v>998</v>
      </c>
      <c r="D785" s="37" t="s">
        <v>1142</v>
      </c>
      <c r="E785" s="37" t="s">
        <v>1024</v>
      </c>
      <c r="F785" s="103" t="s">
        <v>142</v>
      </c>
      <c r="G785" s="26">
        <v>1723.3</v>
      </c>
      <c r="H785" s="26"/>
      <c r="I785" s="26">
        <f t="shared" si="22"/>
        <v>0</v>
      </c>
      <c r="J785" s="39">
        <f>SUM('[1]ведомствен.2012'!G751)</f>
        <v>1723.3</v>
      </c>
    </row>
    <row r="786" spans="1:9" s="39" customFormat="1" ht="42.75" customHeight="1">
      <c r="A786" s="262" t="s">
        <v>1025</v>
      </c>
      <c r="B786" s="23"/>
      <c r="C786" s="37" t="s">
        <v>998</v>
      </c>
      <c r="D786" s="37" t="s">
        <v>1142</v>
      </c>
      <c r="E786" s="37" t="s">
        <v>1026</v>
      </c>
      <c r="F786" s="103"/>
      <c r="G786" s="26">
        <v>17</v>
      </c>
      <c r="H786" s="26">
        <f>SUM(H787)</f>
        <v>16618.3</v>
      </c>
      <c r="I786" s="26">
        <f t="shared" si="22"/>
        <v>97754.70588235294</v>
      </c>
    </row>
    <row r="787" spans="1:13" s="39" customFormat="1" ht="15" customHeight="1">
      <c r="A787" s="262" t="s">
        <v>776</v>
      </c>
      <c r="B787" s="23"/>
      <c r="C787" s="37" t="s">
        <v>998</v>
      </c>
      <c r="D787" s="37" t="s">
        <v>1142</v>
      </c>
      <c r="E787" s="37" t="s">
        <v>1026</v>
      </c>
      <c r="F787" s="103" t="s">
        <v>142</v>
      </c>
      <c r="G787" s="26">
        <f>31809.4-1284.7</f>
        <v>30524.7</v>
      </c>
      <c r="H787" s="26">
        <v>16618.3</v>
      </c>
      <c r="I787" s="26">
        <f t="shared" si="22"/>
        <v>54.44214029949516</v>
      </c>
      <c r="J787" s="182">
        <f>SUM('[1]ведомствен.2012'!G753)</f>
        <v>30524.7</v>
      </c>
      <c r="M787" s="182" t="e">
        <f>SUM(#REF!)</f>
        <v>#REF!</v>
      </c>
    </row>
    <row r="788" spans="1:9" s="39" customFormat="1" ht="14.25" customHeight="1">
      <c r="A788" s="99" t="s">
        <v>1027</v>
      </c>
      <c r="B788" s="23"/>
      <c r="C788" s="84" t="s">
        <v>998</v>
      </c>
      <c r="D788" s="84" t="s">
        <v>1150</v>
      </c>
      <c r="E788" s="84"/>
      <c r="F788" s="49"/>
      <c r="G788" s="54">
        <f>SUM(G795+G870+G880)</f>
        <v>675390.8999999999</v>
      </c>
      <c r="H788" s="54">
        <f>SUM(H795+H870+H873+H880+H789)</f>
        <v>454278.8</v>
      </c>
      <c r="I788" s="26">
        <f t="shared" si="22"/>
        <v>67.26161101667199</v>
      </c>
    </row>
    <row r="789" spans="1:9" s="39" customFormat="1" ht="14.25" customHeight="1" hidden="1">
      <c r="A789" s="35" t="s">
        <v>660</v>
      </c>
      <c r="B789" s="23"/>
      <c r="C789" s="84" t="s">
        <v>998</v>
      </c>
      <c r="D789" s="84" t="s">
        <v>1150</v>
      </c>
      <c r="E789" s="24" t="s">
        <v>662</v>
      </c>
      <c r="F789" s="25"/>
      <c r="G789" s="26">
        <f>SUM(G791)</f>
        <v>0</v>
      </c>
      <c r="H789" s="26">
        <f>SUM(H791)</f>
        <v>200</v>
      </c>
      <c r="I789" s="26" t="e">
        <f t="shared" si="22"/>
        <v>#DIV/0!</v>
      </c>
    </row>
    <row r="790" spans="1:9" s="39" customFormat="1" ht="14.25" customHeight="1" hidden="1">
      <c r="A790" s="35" t="s">
        <v>638</v>
      </c>
      <c r="B790" s="23"/>
      <c r="C790" s="84" t="s">
        <v>998</v>
      </c>
      <c r="D790" s="84" t="s">
        <v>1150</v>
      </c>
      <c r="E790" s="24" t="s">
        <v>639</v>
      </c>
      <c r="F790" s="25"/>
      <c r="G790" s="26">
        <f>SUM(G791)</f>
        <v>0</v>
      </c>
      <c r="H790" s="26">
        <f>SUM(H791)</f>
        <v>200</v>
      </c>
      <c r="I790" s="26" t="e">
        <f t="shared" si="22"/>
        <v>#DIV/0!</v>
      </c>
    </row>
    <row r="791" spans="1:9" s="39" customFormat="1" ht="14.25" customHeight="1" hidden="1">
      <c r="A791" s="35" t="s">
        <v>960</v>
      </c>
      <c r="B791" s="36"/>
      <c r="C791" s="84" t="s">
        <v>998</v>
      </c>
      <c r="D791" s="84" t="s">
        <v>1150</v>
      </c>
      <c r="E791" s="24" t="s">
        <v>639</v>
      </c>
      <c r="F791" s="28" t="s">
        <v>961</v>
      </c>
      <c r="G791" s="26"/>
      <c r="H791" s="26">
        <v>200</v>
      </c>
      <c r="I791" s="26" t="e">
        <f t="shared" si="22"/>
        <v>#DIV/0!</v>
      </c>
    </row>
    <row r="792" spans="1:10" ht="31.5" customHeight="1" hidden="1">
      <c r="A792" s="38" t="s">
        <v>722</v>
      </c>
      <c r="B792" s="23"/>
      <c r="C792" s="24" t="s">
        <v>998</v>
      </c>
      <c r="D792" s="37" t="s">
        <v>1150</v>
      </c>
      <c r="E792" s="24" t="s">
        <v>263</v>
      </c>
      <c r="F792" s="25"/>
      <c r="G792" s="26">
        <f>SUM(G793)</f>
        <v>0</v>
      </c>
      <c r="H792" s="26">
        <f>SUM(H793)</f>
        <v>0</v>
      </c>
      <c r="I792" s="26" t="e">
        <f>SUM(H792/G792*100)</f>
        <v>#DIV/0!</v>
      </c>
      <c r="J792"/>
    </row>
    <row r="793" spans="1:10" ht="28.5" customHeight="1" hidden="1">
      <c r="A793" s="38" t="s">
        <v>723</v>
      </c>
      <c r="B793" s="23"/>
      <c r="C793" s="24" t="s">
        <v>998</v>
      </c>
      <c r="D793" s="37" t="s">
        <v>1150</v>
      </c>
      <c r="E793" s="24" t="s">
        <v>724</v>
      </c>
      <c r="F793" s="25"/>
      <c r="G793" s="26">
        <f>SUM(G794)</f>
        <v>0</v>
      </c>
      <c r="H793" s="26">
        <f>SUM(H794)</f>
        <v>0</v>
      </c>
      <c r="I793" s="26" t="e">
        <f>SUM(H793/G793*100)</f>
        <v>#DIV/0!</v>
      </c>
      <c r="J793"/>
    </row>
    <row r="794" spans="1:10" ht="23.25" customHeight="1" hidden="1">
      <c r="A794" s="38" t="s">
        <v>147</v>
      </c>
      <c r="B794" s="23"/>
      <c r="C794" s="24" t="s">
        <v>998</v>
      </c>
      <c r="D794" s="37" t="s">
        <v>1150</v>
      </c>
      <c r="E794" s="24" t="s">
        <v>724</v>
      </c>
      <c r="F794" s="25" t="s">
        <v>149</v>
      </c>
      <c r="G794" s="26"/>
      <c r="H794" s="26"/>
      <c r="I794" s="26" t="e">
        <f>SUM(H794/G794*100)</f>
        <v>#DIV/0!</v>
      </c>
      <c r="J794"/>
    </row>
    <row r="795" spans="1:10" ht="18" customHeight="1">
      <c r="A795" s="35" t="s">
        <v>1028</v>
      </c>
      <c r="B795" s="23"/>
      <c r="C795" s="24" t="s">
        <v>998</v>
      </c>
      <c r="D795" s="24" t="s">
        <v>1150</v>
      </c>
      <c r="E795" s="24" t="s">
        <v>1029</v>
      </c>
      <c r="F795" s="25"/>
      <c r="G795" s="26">
        <f>SUM(G796+G798+G800+G812+G814+G830+G834+G839+G841+G843+G864)+G868+G816+G818+G824+G826+G832+G837+G809+G822+G820+G828+G805+G807+G802</f>
        <v>661790.2999999999</v>
      </c>
      <c r="H795" s="26">
        <f>SUM(H796+H798+H800+H812+H814+H830+H834+H839+H841+H843+H864)+H868+H816+H818+H824+H826+H832+H837+H811+H822+H820+H828+H805+H807+H802</f>
        <v>446896.3</v>
      </c>
      <c r="I795" s="26">
        <f t="shared" si="22"/>
        <v>67.52838474664861</v>
      </c>
      <c r="J795"/>
    </row>
    <row r="796" spans="1:10" ht="55.5" customHeight="1" hidden="1">
      <c r="A796" s="111" t="s">
        <v>1030</v>
      </c>
      <c r="B796" s="23"/>
      <c r="C796" s="24" t="s">
        <v>998</v>
      </c>
      <c r="D796" s="24" t="s">
        <v>1150</v>
      </c>
      <c r="E796" s="24" t="s">
        <v>1031</v>
      </c>
      <c r="F796" s="25"/>
      <c r="G796" s="26">
        <f>SUM(G797:G797)</f>
        <v>0</v>
      </c>
      <c r="H796" s="26">
        <f>SUM(H797:H797)</f>
        <v>0</v>
      </c>
      <c r="I796" s="26" t="e">
        <f t="shared" si="22"/>
        <v>#DIV/0!</v>
      </c>
      <c r="J796"/>
    </row>
    <row r="797" spans="1:10" ht="20.25" customHeight="1" hidden="1">
      <c r="A797" s="35" t="s">
        <v>960</v>
      </c>
      <c r="B797" s="23"/>
      <c r="C797" s="24" t="s">
        <v>998</v>
      </c>
      <c r="D797" s="24" t="s">
        <v>1150</v>
      </c>
      <c r="E797" s="24" t="s">
        <v>1031</v>
      </c>
      <c r="F797" s="25" t="s">
        <v>961</v>
      </c>
      <c r="G797" s="26"/>
      <c r="H797" s="26"/>
      <c r="I797" s="26" t="e">
        <f t="shared" si="22"/>
        <v>#DIV/0!</v>
      </c>
      <c r="J797"/>
    </row>
    <row r="798" spans="1:9" s="39" customFormat="1" ht="42.75" customHeight="1" hidden="1">
      <c r="A798" s="35" t="s">
        <v>1032</v>
      </c>
      <c r="B798" s="23"/>
      <c r="C798" s="24" t="s">
        <v>998</v>
      </c>
      <c r="D798" s="24" t="s">
        <v>1150</v>
      </c>
      <c r="E798" s="24" t="s">
        <v>1033</v>
      </c>
      <c r="F798" s="25"/>
      <c r="G798" s="26">
        <f>SUM(G799:G799)</f>
        <v>0</v>
      </c>
      <c r="H798" s="26">
        <f>SUM(H799:H799)</f>
        <v>0</v>
      </c>
      <c r="I798" s="26" t="e">
        <f t="shared" si="22"/>
        <v>#DIV/0!</v>
      </c>
    </row>
    <row r="799" spans="1:9" s="39" customFormat="1" ht="15" customHeight="1" hidden="1">
      <c r="A799" s="35" t="s">
        <v>960</v>
      </c>
      <c r="B799" s="23"/>
      <c r="C799" s="24" t="s">
        <v>998</v>
      </c>
      <c r="D799" s="24" t="s">
        <v>1150</v>
      </c>
      <c r="E799" s="24" t="s">
        <v>1033</v>
      </c>
      <c r="F799" s="25" t="s">
        <v>961</v>
      </c>
      <c r="G799" s="26"/>
      <c r="H799" s="26"/>
      <c r="I799" s="26" t="e">
        <f t="shared" si="22"/>
        <v>#DIV/0!</v>
      </c>
    </row>
    <row r="800" spans="1:9" s="39" customFormat="1" ht="42.75" customHeight="1" hidden="1">
      <c r="A800" s="35" t="s">
        <v>1034</v>
      </c>
      <c r="B800" s="30"/>
      <c r="C800" s="37" t="s">
        <v>998</v>
      </c>
      <c r="D800" s="24" t="s">
        <v>1150</v>
      </c>
      <c r="E800" s="24" t="s">
        <v>1035</v>
      </c>
      <c r="F800" s="25"/>
      <c r="G800" s="26">
        <f>SUM(G801)</f>
        <v>0</v>
      </c>
      <c r="H800" s="26">
        <f>SUM(H801)</f>
        <v>0</v>
      </c>
      <c r="I800" s="26" t="e">
        <f t="shared" si="22"/>
        <v>#DIV/0!</v>
      </c>
    </row>
    <row r="801" spans="1:9" s="39" customFormat="1" ht="23.25" customHeight="1" hidden="1">
      <c r="A801" s="35" t="s">
        <v>960</v>
      </c>
      <c r="B801" s="30"/>
      <c r="C801" s="37" t="s">
        <v>998</v>
      </c>
      <c r="D801" s="24" t="s">
        <v>1150</v>
      </c>
      <c r="E801" s="24" t="s">
        <v>1035</v>
      </c>
      <c r="F801" s="25" t="s">
        <v>961</v>
      </c>
      <c r="G801" s="26"/>
      <c r="H801" s="26"/>
      <c r="I801" s="26" t="e">
        <f t="shared" si="22"/>
        <v>#DIV/0!</v>
      </c>
    </row>
    <row r="802" spans="1:9" s="39" customFormat="1" ht="60" customHeight="1" hidden="1">
      <c r="A802" s="41" t="s">
        <v>1036</v>
      </c>
      <c r="B802" s="30"/>
      <c r="C802" s="24" t="s">
        <v>998</v>
      </c>
      <c r="D802" s="37" t="s">
        <v>1150</v>
      </c>
      <c r="E802" s="24" t="s">
        <v>1037</v>
      </c>
      <c r="F802" s="25"/>
      <c r="G802" s="26">
        <f>SUM(G803)</f>
        <v>0</v>
      </c>
      <c r="H802" s="26">
        <f>SUM(H803)</f>
        <v>361.8</v>
      </c>
      <c r="I802" s="26" t="e">
        <f t="shared" si="22"/>
        <v>#DIV/0!</v>
      </c>
    </row>
    <row r="803" spans="1:9" s="39" customFormat="1" ht="19.5" customHeight="1" hidden="1">
      <c r="A803" s="35" t="s">
        <v>960</v>
      </c>
      <c r="B803" s="30"/>
      <c r="C803" s="37" t="s">
        <v>998</v>
      </c>
      <c r="D803" s="24" t="s">
        <v>1150</v>
      </c>
      <c r="E803" s="24" t="s">
        <v>1037</v>
      </c>
      <c r="F803" s="25" t="s">
        <v>961</v>
      </c>
      <c r="G803" s="26"/>
      <c r="H803" s="26">
        <v>361.8</v>
      </c>
      <c r="I803" s="26" t="e">
        <f t="shared" si="22"/>
        <v>#DIV/0!</v>
      </c>
    </row>
    <row r="804" spans="1:9" s="39" customFormat="1" ht="60" customHeight="1" hidden="1">
      <c r="A804" s="41" t="s">
        <v>1036</v>
      </c>
      <c r="B804" s="30"/>
      <c r="C804" s="24" t="s">
        <v>998</v>
      </c>
      <c r="D804" s="37" t="s">
        <v>1150</v>
      </c>
      <c r="E804" s="24" t="s">
        <v>1037</v>
      </c>
      <c r="F804" s="25"/>
      <c r="G804" s="26"/>
      <c r="H804" s="26"/>
      <c r="I804" s="26" t="e">
        <f t="shared" si="22"/>
        <v>#DIV/0!</v>
      </c>
    </row>
    <row r="805" spans="1:9" s="39" customFormat="1" ht="104.25" customHeight="1">
      <c r="A805" s="35" t="s">
        <v>1038</v>
      </c>
      <c r="B805" s="30"/>
      <c r="C805" s="37" t="s">
        <v>998</v>
      </c>
      <c r="D805" s="24" t="s">
        <v>1150</v>
      </c>
      <c r="E805" s="24" t="s">
        <v>1039</v>
      </c>
      <c r="F805" s="25"/>
      <c r="G805" s="26">
        <f>SUM(G806)</f>
        <v>1305.8</v>
      </c>
      <c r="H805" s="26">
        <f>SUM(H806)</f>
        <v>634.3</v>
      </c>
      <c r="I805" s="26">
        <f t="shared" si="22"/>
        <v>48.575585847756166</v>
      </c>
    </row>
    <row r="806" spans="1:13" s="39" customFormat="1" ht="16.5" customHeight="1">
      <c r="A806" s="35" t="s">
        <v>960</v>
      </c>
      <c r="B806" s="30"/>
      <c r="C806" s="37" t="s">
        <v>998</v>
      </c>
      <c r="D806" s="24" t="s">
        <v>1150</v>
      </c>
      <c r="E806" s="24" t="s">
        <v>1039</v>
      </c>
      <c r="F806" s="25" t="s">
        <v>961</v>
      </c>
      <c r="G806" s="26">
        <v>1305.8</v>
      </c>
      <c r="H806" s="26">
        <v>634.3</v>
      </c>
      <c r="I806" s="26">
        <f aca="true" t="shared" si="24" ref="I806:I869">SUM(H806/G806*100)</f>
        <v>48.575585847756166</v>
      </c>
      <c r="J806" s="182">
        <f>SUM('[1]ведомствен.2012'!G766)</f>
        <v>1305.8</v>
      </c>
      <c r="M806" s="182" t="e">
        <f>SUM(#REF!)</f>
        <v>#REF!</v>
      </c>
    </row>
    <row r="807" spans="1:9" s="39" customFormat="1" ht="60" customHeight="1">
      <c r="A807" s="35" t="s">
        <v>244</v>
      </c>
      <c r="B807" s="30"/>
      <c r="C807" s="37" t="s">
        <v>998</v>
      </c>
      <c r="D807" s="24" t="s">
        <v>1150</v>
      </c>
      <c r="E807" s="24" t="s">
        <v>245</v>
      </c>
      <c r="F807" s="25"/>
      <c r="G807" s="26">
        <f>SUM(G808)</f>
        <v>385.6</v>
      </c>
      <c r="H807" s="26">
        <f>SUM(H808)</f>
        <v>542.8</v>
      </c>
      <c r="I807" s="26">
        <f t="shared" si="24"/>
        <v>140.76763485477179</v>
      </c>
    </row>
    <row r="808" spans="1:13" s="39" customFormat="1" ht="22.5" customHeight="1">
      <c r="A808" s="35" t="s">
        <v>960</v>
      </c>
      <c r="B808" s="30"/>
      <c r="C808" s="37" t="s">
        <v>998</v>
      </c>
      <c r="D808" s="24" t="s">
        <v>1150</v>
      </c>
      <c r="E808" s="24" t="s">
        <v>245</v>
      </c>
      <c r="F808" s="25" t="s">
        <v>961</v>
      </c>
      <c r="G808" s="26">
        <v>385.6</v>
      </c>
      <c r="H808" s="26">
        <v>542.8</v>
      </c>
      <c r="I808" s="26">
        <f t="shared" si="24"/>
        <v>140.76763485477179</v>
      </c>
      <c r="J808" s="182">
        <f>SUM('[1]ведомствен.2012'!G768)</f>
        <v>385.6</v>
      </c>
      <c r="M808" s="182" t="e">
        <f>SUM(#REF!)</f>
        <v>#REF!</v>
      </c>
    </row>
    <row r="809" spans="1:9" s="39" customFormat="1" ht="61.5" customHeight="1" hidden="1">
      <c r="A809" s="35" t="s">
        <v>760</v>
      </c>
      <c r="B809" s="23"/>
      <c r="C809" s="37" t="s">
        <v>998</v>
      </c>
      <c r="D809" s="37" t="s">
        <v>1150</v>
      </c>
      <c r="E809" s="24" t="s">
        <v>761</v>
      </c>
      <c r="F809" s="25"/>
      <c r="G809" s="26">
        <f>SUM(G810)</f>
        <v>0</v>
      </c>
      <c r="H809" s="54"/>
      <c r="I809" s="26"/>
    </row>
    <row r="810" spans="1:9" s="39" customFormat="1" ht="60.75" customHeight="1" hidden="1">
      <c r="A810" s="38" t="s">
        <v>762</v>
      </c>
      <c r="B810" s="23"/>
      <c r="C810" s="37" t="s">
        <v>998</v>
      </c>
      <c r="D810" s="37" t="s">
        <v>1150</v>
      </c>
      <c r="E810" s="24" t="s">
        <v>763</v>
      </c>
      <c r="F810" s="28"/>
      <c r="G810" s="26">
        <f>SUM(G811)</f>
        <v>0</v>
      </c>
      <c r="H810" s="54"/>
      <c r="I810" s="26"/>
    </row>
    <row r="811" spans="1:13" s="39" customFormat="1" ht="13.5" customHeight="1" hidden="1">
      <c r="A811" s="35" t="s">
        <v>960</v>
      </c>
      <c r="B811" s="91"/>
      <c r="C811" s="37" t="s">
        <v>998</v>
      </c>
      <c r="D811" s="37" t="s">
        <v>1150</v>
      </c>
      <c r="E811" s="24" t="s">
        <v>763</v>
      </c>
      <c r="F811" s="103" t="s">
        <v>961</v>
      </c>
      <c r="G811" s="54"/>
      <c r="H811" s="54"/>
      <c r="I811" s="26"/>
      <c r="J811" s="182">
        <f>SUM('[1]ведомствен.2012'!G923)</f>
        <v>0</v>
      </c>
      <c r="M811" s="39" t="e">
        <f>SUM(#REF!)</f>
        <v>#REF!</v>
      </c>
    </row>
    <row r="812" spans="1:9" s="39" customFormat="1" ht="71.25">
      <c r="A812" s="38" t="s">
        <v>728</v>
      </c>
      <c r="B812" s="23"/>
      <c r="C812" s="37" t="s">
        <v>998</v>
      </c>
      <c r="D812" s="24" t="s">
        <v>1150</v>
      </c>
      <c r="E812" s="24" t="s">
        <v>729</v>
      </c>
      <c r="F812" s="25"/>
      <c r="G812" s="26">
        <f>SUM(G813)</f>
        <v>1994.3</v>
      </c>
      <c r="H812" s="26">
        <f>SUM(H813)</f>
        <v>1313.1</v>
      </c>
      <c r="I812" s="26">
        <f t="shared" si="24"/>
        <v>65.84265155693727</v>
      </c>
    </row>
    <row r="813" spans="1:13" s="39" customFormat="1" ht="15">
      <c r="A813" s="35" t="s">
        <v>960</v>
      </c>
      <c r="B813" s="23"/>
      <c r="C813" s="37" t="s">
        <v>998</v>
      </c>
      <c r="D813" s="24" t="s">
        <v>1150</v>
      </c>
      <c r="E813" s="24" t="s">
        <v>729</v>
      </c>
      <c r="F813" s="25" t="s">
        <v>961</v>
      </c>
      <c r="G813" s="26">
        <v>1994.3</v>
      </c>
      <c r="H813" s="26">
        <v>1313.1</v>
      </c>
      <c r="I813" s="26">
        <f t="shared" si="24"/>
        <v>65.84265155693727</v>
      </c>
      <c r="J813" s="182">
        <f>SUM('[1]ведомствен.2012'!G770)</f>
        <v>1994.3</v>
      </c>
      <c r="M813" s="182" t="e">
        <f>SUM(#REF!)</f>
        <v>#REF!</v>
      </c>
    </row>
    <row r="814" spans="1:9" s="39" customFormat="1" ht="42.75">
      <c r="A814" s="76" t="s">
        <v>730</v>
      </c>
      <c r="B814" s="23"/>
      <c r="C814" s="37" t="s">
        <v>998</v>
      </c>
      <c r="D814" s="24" t="s">
        <v>1150</v>
      </c>
      <c r="E814" s="24" t="s">
        <v>731</v>
      </c>
      <c r="F814" s="25"/>
      <c r="G814" s="26">
        <f>SUM(G815)</f>
        <v>10693.4</v>
      </c>
      <c r="H814" s="26">
        <f>SUM(H815)</f>
        <v>6301</v>
      </c>
      <c r="I814" s="26">
        <f t="shared" si="24"/>
        <v>58.92419623319057</v>
      </c>
    </row>
    <row r="815" spans="1:13" s="39" customFormat="1" ht="15">
      <c r="A815" s="35" t="s">
        <v>960</v>
      </c>
      <c r="B815" s="23"/>
      <c r="C815" s="37" t="s">
        <v>998</v>
      </c>
      <c r="D815" s="24" t="s">
        <v>1150</v>
      </c>
      <c r="E815" s="24" t="s">
        <v>731</v>
      </c>
      <c r="F815" s="25" t="s">
        <v>961</v>
      </c>
      <c r="G815" s="26">
        <v>10693.4</v>
      </c>
      <c r="H815" s="26">
        <v>6301</v>
      </c>
      <c r="I815" s="26">
        <f t="shared" si="24"/>
        <v>58.92419623319057</v>
      </c>
      <c r="J815" s="182">
        <f>SUM('[1]ведомствен.2012'!G772)</f>
        <v>10693.4</v>
      </c>
      <c r="M815" s="182" t="e">
        <f>SUM(#REF!)</f>
        <v>#REF!</v>
      </c>
    </row>
    <row r="816" spans="1:9" s="39" customFormat="1" ht="57" customHeight="1">
      <c r="A816" s="35" t="s">
        <v>732</v>
      </c>
      <c r="B816" s="23"/>
      <c r="C816" s="37" t="s">
        <v>998</v>
      </c>
      <c r="D816" s="24" t="s">
        <v>1150</v>
      </c>
      <c r="E816" s="24" t="s">
        <v>733</v>
      </c>
      <c r="F816" s="25"/>
      <c r="G816" s="26">
        <f>SUM(G817)</f>
        <v>25101.4</v>
      </c>
      <c r="H816" s="26">
        <f>SUM(H817)</f>
        <v>18786.9</v>
      </c>
      <c r="I816" s="26">
        <f t="shared" si="24"/>
        <v>74.84403260375916</v>
      </c>
    </row>
    <row r="817" spans="1:13" s="39" customFormat="1" ht="18.75" customHeight="1">
      <c r="A817" s="35" t="s">
        <v>960</v>
      </c>
      <c r="B817" s="23"/>
      <c r="C817" s="37" t="s">
        <v>998</v>
      </c>
      <c r="D817" s="24" t="s">
        <v>1150</v>
      </c>
      <c r="E817" s="24" t="s">
        <v>733</v>
      </c>
      <c r="F817" s="25" t="s">
        <v>961</v>
      </c>
      <c r="G817" s="26">
        <v>25101.4</v>
      </c>
      <c r="H817" s="26">
        <v>18786.9</v>
      </c>
      <c r="I817" s="26">
        <f t="shared" si="24"/>
        <v>74.84403260375916</v>
      </c>
      <c r="J817" s="182">
        <f>SUM('[1]ведомствен.2012'!G774)</f>
        <v>25101.4</v>
      </c>
      <c r="M817" s="182" t="e">
        <f>SUM(#REF!)</f>
        <v>#REF!</v>
      </c>
    </row>
    <row r="818" spans="1:9" s="39" customFormat="1" ht="72" customHeight="1">
      <c r="A818" s="35" t="s">
        <v>867</v>
      </c>
      <c r="B818" s="23"/>
      <c r="C818" s="37" t="s">
        <v>998</v>
      </c>
      <c r="D818" s="24" t="s">
        <v>1150</v>
      </c>
      <c r="E818" s="24" t="s">
        <v>734</v>
      </c>
      <c r="F818" s="25"/>
      <c r="G818" s="26">
        <f>SUM(G819)</f>
        <v>8243.1</v>
      </c>
      <c r="H818" s="26">
        <f>SUM(H819)</f>
        <v>15760.4</v>
      </c>
      <c r="I818" s="26">
        <f t="shared" si="24"/>
        <v>191.1950601108806</v>
      </c>
    </row>
    <row r="819" spans="1:13" s="39" customFormat="1" ht="20.25" customHeight="1">
      <c r="A819" s="35" t="s">
        <v>960</v>
      </c>
      <c r="B819" s="23"/>
      <c r="C819" s="37" t="s">
        <v>998</v>
      </c>
      <c r="D819" s="24" t="s">
        <v>1150</v>
      </c>
      <c r="E819" s="24" t="s">
        <v>734</v>
      </c>
      <c r="F819" s="25" t="s">
        <v>961</v>
      </c>
      <c r="G819" s="26">
        <v>8243.1</v>
      </c>
      <c r="H819" s="26">
        <v>15760.4</v>
      </c>
      <c r="I819" s="26">
        <f t="shared" si="24"/>
        <v>191.1950601108806</v>
      </c>
      <c r="J819" s="182">
        <f>SUM('[1]ведомствен.2012'!G776)</f>
        <v>8243.1</v>
      </c>
      <c r="M819" s="182" t="e">
        <f>SUM(#REF!)</f>
        <v>#REF!</v>
      </c>
    </row>
    <row r="820" spans="1:9" s="97" customFormat="1" ht="89.25" customHeight="1">
      <c r="A820" s="35" t="s">
        <v>47</v>
      </c>
      <c r="B820" s="23"/>
      <c r="C820" s="37" t="s">
        <v>998</v>
      </c>
      <c r="D820" s="24" t="s">
        <v>1150</v>
      </c>
      <c r="E820" s="24" t="s">
        <v>48</v>
      </c>
      <c r="F820" s="25"/>
      <c r="G820" s="26">
        <f>SUM(G821)</f>
        <v>99144.5</v>
      </c>
      <c r="H820" s="26">
        <f>SUM(H821)</f>
        <v>40636.1</v>
      </c>
      <c r="I820" s="26">
        <f t="shared" si="24"/>
        <v>40.986741574167</v>
      </c>
    </row>
    <row r="821" spans="1:13" s="97" customFormat="1" ht="21.75" customHeight="1">
      <c r="A821" s="35" t="s">
        <v>960</v>
      </c>
      <c r="B821" s="23"/>
      <c r="C821" s="37" t="s">
        <v>998</v>
      </c>
      <c r="D821" s="24" t="s">
        <v>1150</v>
      </c>
      <c r="E821" s="24" t="s">
        <v>48</v>
      </c>
      <c r="F821" s="25" t="s">
        <v>961</v>
      </c>
      <c r="G821" s="26">
        <v>99144.5</v>
      </c>
      <c r="H821" s="26">
        <v>40636.1</v>
      </c>
      <c r="I821" s="26">
        <f t="shared" si="24"/>
        <v>40.986741574167</v>
      </c>
      <c r="J821" s="182">
        <f>SUM('[1]ведомствен.2012'!G778)</f>
        <v>99144.5</v>
      </c>
      <c r="M821" s="182" t="e">
        <f>SUM(#REF!)</f>
        <v>#REF!</v>
      </c>
    </row>
    <row r="822" spans="1:9" s="39" customFormat="1" ht="44.25" customHeight="1">
      <c r="A822" s="35" t="s">
        <v>49</v>
      </c>
      <c r="B822" s="23"/>
      <c r="C822" s="37" t="s">
        <v>998</v>
      </c>
      <c r="D822" s="24" t="s">
        <v>1150</v>
      </c>
      <c r="E822" s="24" t="s">
        <v>50</v>
      </c>
      <c r="F822" s="25"/>
      <c r="G822" s="26">
        <f>SUM(G823)</f>
        <v>2954</v>
      </c>
      <c r="H822" s="26">
        <f>SUM(H823)</f>
        <v>191.3</v>
      </c>
      <c r="I822" s="26">
        <f t="shared" si="24"/>
        <v>6.475964793500339</v>
      </c>
    </row>
    <row r="823" spans="1:13" s="39" customFormat="1" ht="20.25" customHeight="1">
      <c r="A823" s="35" t="s">
        <v>960</v>
      </c>
      <c r="B823" s="23"/>
      <c r="C823" s="37" t="s">
        <v>998</v>
      </c>
      <c r="D823" s="24" t="s">
        <v>1150</v>
      </c>
      <c r="E823" s="24" t="s">
        <v>50</v>
      </c>
      <c r="F823" s="25" t="s">
        <v>961</v>
      </c>
      <c r="G823" s="26">
        <v>2954</v>
      </c>
      <c r="H823" s="26">
        <v>191.3</v>
      </c>
      <c r="I823" s="26">
        <f t="shared" si="24"/>
        <v>6.475964793500339</v>
      </c>
      <c r="J823" s="182">
        <f>SUM('[1]ведомствен.2012'!G780)</f>
        <v>2954</v>
      </c>
      <c r="M823" s="182" t="e">
        <f>SUM(#REF!)</f>
        <v>#REF!</v>
      </c>
    </row>
    <row r="824" spans="1:9" s="39" customFormat="1" ht="60.75" customHeight="1">
      <c r="A824" s="35" t="s">
        <v>51</v>
      </c>
      <c r="B824" s="23"/>
      <c r="C824" s="37" t="s">
        <v>998</v>
      </c>
      <c r="D824" s="24" t="s">
        <v>1150</v>
      </c>
      <c r="E824" s="24" t="s">
        <v>52</v>
      </c>
      <c r="F824" s="25"/>
      <c r="G824" s="26">
        <f>SUM(G825)</f>
        <v>7446.2</v>
      </c>
      <c r="H824" s="26">
        <f>SUM(H825)</f>
        <v>4180.7</v>
      </c>
      <c r="I824" s="26">
        <f t="shared" si="24"/>
        <v>56.14541645403024</v>
      </c>
    </row>
    <row r="825" spans="1:13" s="39" customFormat="1" ht="17.25" customHeight="1">
      <c r="A825" s="35" t="s">
        <v>960</v>
      </c>
      <c r="B825" s="23"/>
      <c r="C825" s="37" t="s">
        <v>998</v>
      </c>
      <c r="D825" s="24" t="s">
        <v>1150</v>
      </c>
      <c r="E825" s="24" t="s">
        <v>52</v>
      </c>
      <c r="F825" s="25" t="s">
        <v>961</v>
      </c>
      <c r="G825" s="26">
        <v>7446.2</v>
      </c>
      <c r="H825" s="26">
        <v>4180.7</v>
      </c>
      <c r="I825" s="26">
        <f t="shared" si="24"/>
        <v>56.14541645403024</v>
      </c>
      <c r="J825" s="182">
        <f>SUM('[1]ведомствен.2012'!G782)</f>
        <v>7446.2</v>
      </c>
      <c r="M825" s="182" t="e">
        <f>SUM(#REF!)</f>
        <v>#REF!</v>
      </c>
    </row>
    <row r="826" spans="1:9" s="39" customFormat="1" ht="44.25" customHeight="1" hidden="1">
      <c r="A826" s="35" t="s">
        <v>1032</v>
      </c>
      <c r="B826" s="23"/>
      <c r="C826" s="37" t="s">
        <v>998</v>
      </c>
      <c r="D826" s="24" t="s">
        <v>1150</v>
      </c>
      <c r="E826" s="24" t="s">
        <v>53</v>
      </c>
      <c r="F826" s="25"/>
      <c r="G826" s="26">
        <f>SUM(G827)</f>
        <v>0</v>
      </c>
      <c r="H826" s="26">
        <f>SUM(H827)</f>
        <v>0</v>
      </c>
      <c r="I826" s="26" t="e">
        <f t="shared" si="24"/>
        <v>#DIV/0!</v>
      </c>
    </row>
    <row r="827" spans="1:9" s="39" customFormat="1" ht="15" hidden="1">
      <c r="A827" s="35" t="s">
        <v>960</v>
      </c>
      <c r="B827" s="23"/>
      <c r="C827" s="37" t="s">
        <v>998</v>
      </c>
      <c r="D827" s="24" t="s">
        <v>1150</v>
      </c>
      <c r="E827" s="24" t="s">
        <v>53</v>
      </c>
      <c r="F827" s="25" t="s">
        <v>961</v>
      </c>
      <c r="G827" s="26"/>
      <c r="H827" s="26"/>
      <c r="I827" s="26" t="e">
        <f t="shared" si="24"/>
        <v>#DIV/0!</v>
      </c>
    </row>
    <row r="828" spans="1:9" s="97" customFormat="1" ht="109.5" customHeight="1" hidden="1">
      <c r="A828" s="35" t="s">
        <v>54</v>
      </c>
      <c r="B828" s="23"/>
      <c r="C828" s="37" t="s">
        <v>998</v>
      </c>
      <c r="D828" s="24" t="s">
        <v>1150</v>
      </c>
      <c r="E828" s="24" t="s">
        <v>55</v>
      </c>
      <c r="F828" s="25"/>
      <c r="G828" s="26">
        <f>SUM(G829)</f>
        <v>0</v>
      </c>
      <c r="H828" s="26">
        <f>SUM(H829)</f>
        <v>0</v>
      </c>
      <c r="I828" s="26" t="e">
        <f t="shared" si="24"/>
        <v>#DIV/0!</v>
      </c>
    </row>
    <row r="829" spans="1:9" s="97" customFormat="1" ht="19.5" customHeight="1" hidden="1">
      <c r="A829" s="35" t="s">
        <v>960</v>
      </c>
      <c r="B829" s="23"/>
      <c r="C829" s="37" t="s">
        <v>998</v>
      </c>
      <c r="D829" s="24" t="s">
        <v>1150</v>
      </c>
      <c r="E829" s="24" t="s">
        <v>55</v>
      </c>
      <c r="F829" s="25" t="s">
        <v>961</v>
      </c>
      <c r="G829" s="26"/>
      <c r="H829" s="26"/>
      <c r="I829" s="26" t="e">
        <f t="shared" si="24"/>
        <v>#DIV/0!</v>
      </c>
    </row>
    <row r="830" spans="1:9" s="39" customFormat="1" ht="15">
      <c r="A830" s="111" t="s">
        <v>56</v>
      </c>
      <c r="B830" s="83"/>
      <c r="C830" s="57" t="s">
        <v>998</v>
      </c>
      <c r="D830" s="57" t="s">
        <v>1150</v>
      </c>
      <c r="E830" s="57" t="s">
        <v>57</v>
      </c>
      <c r="F830" s="29"/>
      <c r="G830" s="26">
        <f>SUM(G831)</f>
        <v>9728.5</v>
      </c>
      <c r="H830" s="26">
        <f>SUM(H831)</f>
        <v>16724.6</v>
      </c>
      <c r="I830" s="26">
        <f t="shared" si="24"/>
        <v>171.91345017217452</v>
      </c>
    </row>
    <row r="831" spans="1:13" s="39" customFormat="1" ht="15">
      <c r="A831" s="35" t="s">
        <v>960</v>
      </c>
      <c r="B831" s="83"/>
      <c r="C831" s="57" t="s">
        <v>998</v>
      </c>
      <c r="D831" s="57" t="s">
        <v>1150</v>
      </c>
      <c r="E831" s="57" t="s">
        <v>57</v>
      </c>
      <c r="F831" s="29" t="s">
        <v>961</v>
      </c>
      <c r="G831" s="26">
        <v>9728.5</v>
      </c>
      <c r="H831" s="26">
        <v>16724.6</v>
      </c>
      <c r="I831" s="26">
        <f t="shared" si="24"/>
        <v>171.91345017217452</v>
      </c>
      <c r="J831" s="182">
        <f>SUM('[1]ведомствен.2012'!G788)</f>
        <v>9728.5</v>
      </c>
      <c r="M831" s="182" t="e">
        <f>SUM(#REF!)</f>
        <v>#REF!</v>
      </c>
    </row>
    <row r="832" spans="1:9" s="39" customFormat="1" ht="33" customHeight="1">
      <c r="A832" s="35" t="s">
        <v>58</v>
      </c>
      <c r="B832" s="83"/>
      <c r="C832" s="57" t="s">
        <v>998</v>
      </c>
      <c r="D832" s="57" t="s">
        <v>1150</v>
      </c>
      <c r="E832" s="57" t="s">
        <v>59</v>
      </c>
      <c r="F832" s="29"/>
      <c r="G832" s="26">
        <f>SUM(G833)</f>
        <v>5092.6</v>
      </c>
      <c r="H832" s="26">
        <f>SUM(H833)</f>
        <v>4118.3</v>
      </c>
      <c r="I832" s="26">
        <f t="shared" si="24"/>
        <v>80.86831873699093</v>
      </c>
    </row>
    <row r="833" spans="1:13" s="39" customFormat="1" ht="15">
      <c r="A833" s="35" t="s">
        <v>960</v>
      </c>
      <c r="B833" s="83"/>
      <c r="C833" s="57" t="s">
        <v>998</v>
      </c>
      <c r="D833" s="57" t="s">
        <v>1150</v>
      </c>
      <c r="E833" s="57" t="s">
        <v>59</v>
      </c>
      <c r="F833" s="29" t="s">
        <v>961</v>
      </c>
      <c r="G833" s="26">
        <v>5092.6</v>
      </c>
      <c r="H833" s="26">
        <v>4118.3</v>
      </c>
      <c r="I833" s="26">
        <f t="shared" si="24"/>
        <v>80.86831873699093</v>
      </c>
      <c r="J833" s="182">
        <f>SUM('[1]ведомствен.2012'!G790)</f>
        <v>5092.6</v>
      </c>
      <c r="M833" s="182" t="e">
        <f>SUM(#REF!)</f>
        <v>#REF!</v>
      </c>
    </row>
    <row r="834" spans="1:9" s="39" customFormat="1" ht="57" hidden="1">
      <c r="A834" s="35" t="s">
        <v>898</v>
      </c>
      <c r="B834" s="23"/>
      <c r="C834" s="37" t="s">
        <v>998</v>
      </c>
      <c r="D834" s="37" t="s">
        <v>1150</v>
      </c>
      <c r="E834" s="24" t="s">
        <v>899</v>
      </c>
      <c r="F834" s="25"/>
      <c r="G834" s="26">
        <f>SUM(G835)</f>
        <v>0</v>
      </c>
      <c r="H834" s="26">
        <f>SUM(H835)</f>
        <v>5628.5</v>
      </c>
      <c r="I834" s="26" t="e">
        <f t="shared" si="24"/>
        <v>#DIV/0!</v>
      </c>
    </row>
    <row r="835" spans="1:9" s="39" customFormat="1" ht="57" hidden="1">
      <c r="A835" s="38" t="s">
        <v>900</v>
      </c>
      <c r="B835" s="23"/>
      <c r="C835" s="37" t="s">
        <v>998</v>
      </c>
      <c r="D835" s="37" t="s">
        <v>1150</v>
      </c>
      <c r="E835" s="24" t="s">
        <v>901</v>
      </c>
      <c r="F835" s="28"/>
      <c r="G835" s="26">
        <f>SUM(G836)</f>
        <v>0</v>
      </c>
      <c r="H835" s="26">
        <f>SUM(H836)</f>
        <v>5628.5</v>
      </c>
      <c r="I835" s="26" t="e">
        <f t="shared" si="24"/>
        <v>#DIV/0!</v>
      </c>
    </row>
    <row r="836" spans="1:9" s="39" customFormat="1" ht="15" hidden="1">
      <c r="A836" s="35" t="s">
        <v>960</v>
      </c>
      <c r="B836" s="91"/>
      <c r="C836" s="37" t="s">
        <v>998</v>
      </c>
      <c r="D836" s="37" t="s">
        <v>1150</v>
      </c>
      <c r="E836" s="24" t="s">
        <v>901</v>
      </c>
      <c r="F836" s="103" t="s">
        <v>961</v>
      </c>
      <c r="G836" s="54"/>
      <c r="H836" s="54">
        <v>5628.5</v>
      </c>
      <c r="I836" s="26" t="e">
        <f t="shared" si="24"/>
        <v>#DIV/0!</v>
      </c>
    </row>
    <row r="837" spans="1:9" s="39" customFormat="1" ht="40.5" customHeight="1">
      <c r="A837" s="38" t="s">
        <v>902</v>
      </c>
      <c r="B837" s="23"/>
      <c r="C837" s="37" t="s">
        <v>998</v>
      </c>
      <c r="D837" s="37" t="s">
        <v>1150</v>
      </c>
      <c r="E837" s="37" t="s">
        <v>903</v>
      </c>
      <c r="F837" s="28"/>
      <c r="G837" s="26">
        <f>SUM(G838)</f>
        <v>115.7</v>
      </c>
      <c r="H837" s="26">
        <f>SUM(H838)</f>
        <v>12.8</v>
      </c>
      <c r="I837" s="26">
        <f t="shared" si="24"/>
        <v>11.063094209161624</v>
      </c>
    </row>
    <row r="838" spans="1:13" s="39" customFormat="1" ht="23.25" customHeight="1">
      <c r="A838" s="35" t="s">
        <v>960</v>
      </c>
      <c r="B838" s="23"/>
      <c r="C838" s="37" t="s">
        <v>998</v>
      </c>
      <c r="D838" s="37" t="s">
        <v>1150</v>
      </c>
      <c r="E838" s="37" t="s">
        <v>903</v>
      </c>
      <c r="F838" s="28" t="s">
        <v>961</v>
      </c>
      <c r="G838" s="26">
        <v>115.7</v>
      </c>
      <c r="H838" s="26">
        <v>12.8</v>
      </c>
      <c r="I838" s="26">
        <f t="shared" si="24"/>
        <v>11.063094209161624</v>
      </c>
      <c r="J838" s="182">
        <f>SUM('[1]ведомствен.2012'!G793)</f>
        <v>115.7</v>
      </c>
      <c r="M838" s="182" t="e">
        <f>SUM(#REF!)</f>
        <v>#REF!</v>
      </c>
    </row>
    <row r="839" spans="1:9" s="39" customFormat="1" ht="28.5">
      <c r="A839" s="76" t="s">
        <v>904</v>
      </c>
      <c r="B839" s="23"/>
      <c r="C839" s="37" t="s">
        <v>998</v>
      </c>
      <c r="D839" s="37" t="s">
        <v>1150</v>
      </c>
      <c r="E839" s="37" t="s">
        <v>905</v>
      </c>
      <c r="F839" s="28"/>
      <c r="G839" s="26">
        <f>SUM(G840)</f>
        <v>131851.3</v>
      </c>
      <c r="H839" s="26">
        <f>SUM(H840)</f>
        <v>90050.4</v>
      </c>
      <c r="I839" s="26">
        <f t="shared" si="24"/>
        <v>68.29693753493518</v>
      </c>
    </row>
    <row r="840" spans="1:13" s="39" customFormat="1" ht="15">
      <c r="A840" s="35" t="s">
        <v>960</v>
      </c>
      <c r="B840" s="36"/>
      <c r="C840" s="37" t="s">
        <v>998</v>
      </c>
      <c r="D840" s="37" t="s">
        <v>1150</v>
      </c>
      <c r="E840" s="37" t="s">
        <v>905</v>
      </c>
      <c r="F840" s="28" t="s">
        <v>961</v>
      </c>
      <c r="G840" s="26">
        <v>131851.3</v>
      </c>
      <c r="H840" s="26">
        <v>90050.4</v>
      </c>
      <c r="I840" s="26">
        <f t="shared" si="24"/>
        <v>68.29693753493518</v>
      </c>
      <c r="J840" s="182">
        <f>SUM('[1]ведомствен.2012'!G795)</f>
        <v>131851.3</v>
      </c>
      <c r="M840" s="182" t="e">
        <f>SUM(#REF!)</f>
        <v>#REF!</v>
      </c>
    </row>
    <row r="841" spans="1:9" s="39" customFormat="1" ht="42.75">
      <c r="A841" s="27" t="s">
        <v>906</v>
      </c>
      <c r="B841" s="23"/>
      <c r="C841" s="37" t="s">
        <v>998</v>
      </c>
      <c r="D841" s="37" t="s">
        <v>1150</v>
      </c>
      <c r="E841" s="37" t="s">
        <v>907</v>
      </c>
      <c r="F841" s="28"/>
      <c r="G841" s="26">
        <f>SUM(G842)</f>
        <v>63916.7</v>
      </c>
      <c r="H841" s="26">
        <f>SUM(H842)</f>
        <v>56493.7</v>
      </c>
      <c r="I841" s="26">
        <f t="shared" si="24"/>
        <v>88.38644673457797</v>
      </c>
    </row>
    <row r="842" spans="1:13" s="39" customFormat="1" ht="15">
      <c r="A842" s="35" t="s">
        <v>960</v>
      </c>
      <c r="B842" s="23"/>
      <c r="C842" s="37" t="s">
        <v>998</v>
      </c>
      <c r="D842" s="37" t="s">
        <v>1150</v>
      </c>
      <c r="E842" s="37" t="s">
        <v>907</v>
      </c>
      <c r="F842" s="28" t="s">
        <v>961</v>
      </c>
      <c r="G842" s="26">
        <v>63916.7</v>
      </c>
      <c r="H842" s="26">
        <v>56493.7</v>
      </c>
      <c r="I842" s="26">
        <f t="shared" si="24"/>
        <v>88.38644673457797</v>
      </c>
      <c r="J842" s="182">
        <f>SUM('[1]ведомствен.2012'!G797)</f>
        <v>63916.7</v>
      </c>
      <c r="M842" s="182" t="e">
        <f>SUM(#REF!)</f>
        <v>#REF!</v>
      </c>
    </row>
    <row r="843" spans="1:9" s="39" customFormat="1" ht="28.5">
      <c r="A843" s="35" t="s">
        <v>911</v>
      </c>
      <c r="B843" s="23"/>
      <c r="C843" s="37" t="s">
        <v>998</v>
      </c>
      <c r="D843" s="37" t="s">
        <v>1150</v>
      </c>
      <c r="E843" s="37" t="s">
        <v>912</v>
      </c>
      <c r="F843" s="28"/>
      <c r="G843" s="26">
        <f>SUM(G844+G848+G850+G860+G862+G858+G866)</f>
        <v>288772.8</v>
      </c>
      <c r="H843" s="26">
        <f>SUM(H844+H848+H850+H860+H862+H858+H866)</f>
        <v>182903.19999999998</v>
      </c>
      <c r="I843" s="26">
        <f t="shared" si="24"/>
        <v>63.33809832505</v>
      </c>
    </row>
    <row r="844" spans="1:9" s="39" customFormat="1" ht="28.5">
      <c r="A844" s="38" t="s">
        <v>39</v>
      </c>
      <c r="B844" s="23"/>
      <c r="C844" s="37" t="s">
        <v>998</v>
      </c>
      <c r="D844" s="37" t="s">
        <v>1150</v>
      </c>
      <c r="E844" s="37" t="s">
        <v>40</v>
      </c>
      <c r="F844" s="28"/>
      <c r="G844" s="26">
        <f>SUM(G845)</f>
        <v>51127</v>
      </c>
      <c r="H844" s="26">
        <f>SUM(H845)</f>
        <v>37224.7</v>
      </c>
      <c r="I844" s="26">
        <f t="shared" si="24"/>
        <v>72.80830089776438</v>
      </c>
    </row>
    <row r="845" spans="1:13" s="39" customFormat="1" ht="15">
      <c r="A845" s="35" t="s">
        <v>960</v>
      </c>
      <c r="B845" s="23"/>
      <c r="C845" s="37" t="s">
        <v>998</v>
      </c>
      <c r="D845" s="37" t="s">
        <v>1150</v>
      </c>
      <c r="E845" s="37" t="s">
        <v>40</v>
      </c>
      <c r="F845" s="28" t="s">
        <v>961</v>
      </c>
      <c r="G845" s="26">
        <v>51127</v>
      </c>
      <c r="H845" s="26">
        <v>37224.7</v>
      </c>
      <c r="I845" s="26">
        <f t="shared" si="24"/>
        <v>72.80830089776438</v>
      </c>
      <c r="J845" s="182">
        <f>SUM('[1]ведомствен.2012'!G800)</f>
        <v>51127</v>
      </c>
      <c r="M845" s="182" t="e">
        <f>SUM(#REF!)</f>
        <v>#REF!</v>
      </c>
    </row>
    <row r="846" spans="1:9" s="39" customFormat="1" ht="22.5" customHeight="1" hidden="1">
      <c r="A846" s="35" t="s">
        <v>41</v>
      </c>
      <c r="B846" s="30"/>
      <c r="C846" s="37" t="s">
        <v>998</v>
      </c>
      <c r="D846" s="24" t="s">
        <v>1150</v>
      </c>
      <c r="E846" s="37" t="s">
        <v>42</v>
      </c>
      <c r="F846" s="25"/>
      <c r="G846" s="26">
        <f>SUM(G847)</f>
        <v>0</v>
      </c>
      <c r="H846" s="26">
        <f>SUM(H847)</f>
        <v>0</v>
      </c>
      <c r="I846" s="26" t="e">
        <f t="shared" si="24"/>
        <v>#DIV/0!</v>
      </c>
    </row>
    <row r="847" spans="1:9" s="39" customFormat="1" ht="27" customHeight="1" hidden="1">
      <c r="A847" s="35" t="s">
        <v>960</v>
      </c>
      <c r="B847" s="30"/>
      <c r="C847" s="37" t="s">
        <v>998</v>
      </c>
      <c r="D847" s="24" t="s">
        <v>1150</v>
      </c>
      <c r="E847" s="37" t="s">
        <v>42</v>
      </c>
      <c r="F847" s="25" t="s">
        <v>961</v>
      </c>
      <c r="G847" s="26"/>
      <c r="H847" s="26"/>
      <c r="I847" s="26" t="e">
        <f t="shared" si="24"/>
        <v>#DIV/0!</v>
      </c>
    </row>
    <row r="848" spans="1:9" s="39" customFormat="1" ht="72.75" customHeight="1">
      <c r="A848" s="271" t="s">
        <v>738</v>
      </c>
      <c r="B848" s="30"/>
      <c r="C848" s="37" t="s">
        <v>998</v>
      </c>
      <c r="D848" s="24" t="s">
        <v>1150</v>
      </c>
      <c r="E848" s="37" t="s">
        <v>43</v>
      </c>
      <c r="F848" s="25"/>
      <c r="G848" s="26">
        <f>SUM(G849)</f>
        <v>37409</v>
      </c>
      <c r="H848" s="26">
        <f>SUM(H849)</f>
        <v>29554</v>
      </c>
      <c r="I848" s="26">
        <f t="shared" si="24"/>
        <v>79.00237910663209</v>
      </c>
    </row>
    <row r="849" spans="1:13" s="39" customFormat="1" ht="15">
      <c r="A849" s="35" t="s">
        <v>960</v>
      </c>
      <c r="B849" s="30"/>
      <c r="C849" s="37" t="s">
        <v>998</v>
      </c>
      <c r="D849" s="24" t="s">
        <v>1150</v>
      </c>
      <c r="E849" s="37" t="s">
        <v>43</v>
      </c>
      <c r="F849" s="25" t="s">
        <v>961</v>
      </c>
      <c r="G849" s="26">
        <v>37409</v>
      </c>
      <c r="H849" s="26">
        <v>29554</v>
      </c>
      <c r="I849" s="26">
        <f t="shared" si="24"/>
        <v>79.00237910663209</v>
      </c>
      <c r="J849" s="182">
        <f>SUM('[1]ведомствен.2012'!G804)</f>
        <v>37409</v>
      </c>
      <c r="M849" s="182" t="e">
        <f>SUM(#REF!)</f>
        <v>#REF!</v>
      </c>
    </row>
    <row r="850" spans="1:9" s="39" customFormat="1" ht="87.75" customHeight="1">
      <c r="A850" s="271" t="s">
        <v>739</v>
      </c>
      <c r="B850" s="30"/>
      <c r="C850" s="37" t="s">
        <v>998</v>
      </c>
      <c r="D850" s="24" t="s">
        <v>1150</v>
      </c>
      <c r="E850" s="37" t="s">
        <v>44</v>
      </c>
      <c r="F850" s="25"/>
      <c r="G850" s="26">
        <f>SUM(G851)</f>
        <v>18822.7</v>
      </c>
      <c r="H850" s="26">
        <f>SUM(H851)</f>
        <v>37911</v>
      </c>
      <c r="I850" s="26">
        <f t="shared" si="24"/>
        <v>201.41106217492708</v>
      </c>
    </row>
    <row r="851" spans="1:13" s="39" customFormat="1" ht="15">
      <c r="A851" s="35" t="s">
        <v>960</v>
      </c>
      <c r="B851" s="30"/>
      <c r="C851" s="37" t="s">
        <v>998</v>
      </c>
      <c r="D851" s="24" t="s">
        <v>1150</v>
      </c>
      <c r="E851" s="37" t="s">
        <v>44</v>
      </c>
      <c r="F851" s="25" t="s">
        <v>961</v>
      </c>
      <c r="G851" s="26">
        <v>18822.7</v>
      </c>
      <c r="H851" s="26">
        <v>37911</v>
      </c>
      <c r="I851" s="26">
        <f t="shared" si="24"/>
        <v>201.41106217492708</v>
      </c>
      <c r="J851" s="182">
        <f>SUM('[1]ведомствен.2012'!G806)</f>
        <v>18822.7</v>
      </c>
      <c r="M851" s="182" t="e">
        <f>SUM(#REF!)</f>
        <v>#REF!</v>
      </c>
    </row>
    <row r="852" spans="1:9" s="39" customFormat="1" ht="71.25" customHeight="1" hidden="1">
      <c r="A852" s="35" t="s">
        <v>45</v>
      </c>
      <c r="B852" s="30"/>
      <c r="C852" s="37" t="s">
        <v>998</v>
      </c>
      <c r="D852" s="24" t="s">
        <v>1150</v>
      </c>
      <c r="E852" s="37" t="s">
        <v>43</v>
      </c>
      <c r="F852" s="25"/>
      <c r="G852" s="26">
        <f>SUM(G853)</f>
        <v>0</v>
      </c>
      <c r="H852" s="26">
        <f>SUM(H853)</f>
        <v>0</v>
      </c>
      <c r="I852" s="26" t="e">
        <f t="shared" si="24"/>
        <v>#DIV/0!</v>
      </c>
    </row>
    <row r="853" spans="1:9" s="39" customFormat="1" ht="15" customHeight="1" hidden="1">
      <c r="A853" s="35" t="s">
        <v>960</v>
      </c>
      <c r="B853" s="30"/>
      <c r="C853" s="37" t="s">
        <v>998</v>
      </c>
      <c r="D853" s="24" t="s">
        <v>1150</v>
      </c>
      <c r="E853" s="37" t="s">
        <v>43</v>
      </c>
      <c r="F853" s="25" t="s">
        <v>961</v>
      </c>
      <c r="G853" s="26"/>
      <c r="H853" s="26"/>
      <c r="I853" s="26" t="e">
        <f t="shared" si="24"/>
        <v>#DIV/0!</v>
      </c>
    </row>
    <row r="854" spans="1:9" s="39" customFormat="1" ht="85.5" customHeight="1" hidden="1">
      <c r="A854" s="35" t="s">
        <v>46</v>
      </c>
      <c r="B854" s="30"/>
      <c r="C854" s="37" t="s">
        <v>998</v>
      </c>
      <c r="D854" s="24" t="s">
        <v>1150</v>
      </c>
      <c r="E854" s="37" t="s">
        <v>44</v>
      </c>
      <c r="F854" s="25"/>
      <c r="G854" s="26">
        <f>SUM(G855)</f>
        <v>0</v>
      </c>
      <c r="H854" s="26">
        <f>SUM(H855)</f>
        <v>0</v>
      </c>
      <c r="I854" s="26" t="e">
        <f t="shared" si="24"/>
        <v>#DIV/0!</v>
      </c>
    </row>
    <row r="855" spans="1:9" s="39" customFormat="1" ht="15" customHeight="1" hidden="1">
      <c r="A855" s="35" t="s">
        <v>960</v>
      </c>
      <c r="B855" s="30"/>
      <c r="C855" s="37" t="s">
        <v>998</v>
      </c>
      <c r="D855" s="24" t="s">
        <v>1150</v>
      </c>
      <c r="E855" s="37" t="s">
        <v>44</v>
      </c>
      <c r="F855" s="25" t="s">
        <v>961</v>
      </c>
      <c r="G855" s="26"/>
      <c r="H855" s="26"/>
      <c r="I855" s="26" t="e">
        <f t="shared" si="24"/>
        <v>#DIV/0!</v>
      </c>
    </row>
    <row r="856" spans="1:9" s="39" customFormat="1" ht="57" customHeight="1" hidden="1">
      <c r="A856" s="38" t="s">
        <v>1050</v>
      </c>
      <c r="B856" s="23"/>
      <c r="C856" s="37" t="s">
        <v>998</v>
      </c>
      <c r="D856" s="37" t="s">
        <v>1150</v>
      </c>
      <c r="E856" s="37" t="s">
        <v>1051</v>
      </c>
      <c r="F856" s="28"/>
      <c r="G856" s="26">
        <f>SUM(G857)</f>
        <v>0</v>
      </c>
      <c r="H856" s="26">
        <f>SUM(H857)</f>
        <v>0</v>
      </c>
      <c r="I856" s="26" t="e">
        <f t="shared" si="24"/>
        <v>#DIV/0!</v>
      </c>
    </row>
    <row r="857" spans="1:9" s="39" customFormat="1" ht="15" customHeight="1" hidden="1">
      <c r="A857" s="35" t="s">
        <v>960</v>
      </c>
      <c r="B857" s="23"/>
      <c r="C857" s="37" t="s">
        <v>998</v>
      </c>
      <c r="D857" s="37" t="s">
        <v>1150</v>
      </c>
      <c r="E857" s="37" t="s">
        <v>1051</v>
      </c>
      <c r="F857" s="28" t="s">
        <v>961</v>
      </c>
      <c r="G857" s="26"/>
      <c r="H857" s="26"/>
      <c r="I857" s="26" t="e">
        <f t="shared" si="24"/>
        <v>#DIV/0!</v>
      </c>
    </row>
    <row r="858" spans="1:10" ht="99.75">
      <c r="A858" s="35" t="s">
        <v>1055</v>
      </c>
      <c r="B858" s="23"/>
      <c r="C858" s="37" t="s">
        <v>998</v>
      </c>
      <c r="D858" s="37" t="s">
        <v>1150</v>
      </c>
      <c r="E858" s="37" t="s">
        <v>1056</v>
      </c>
      <c r="F858" s="28"/>
      <c r="G858" s="26">
        <f>SUM(G859)</f>
        <v>168979.3</v>
      </c>
      <c r="H858" s="26">
        <f>SUM(H859)</f>
        <v>70381.4</v>
      </c>
      <c r="I858" s="26">
        <f t="shared" si="24"/>
        <v>41.650900435733845</v>
      </c>
      <c r="J858"/>
    </row>
    <row r="859" spans="1:13" ht="15">
      <c r="A859" s="35" t="s">
        <v>960</v>
      </c>
      <c r="B859" s="23"/>
      <c r="C859" s="37" t="s">
        <v>998</v>
      </c>
      <c r="D859" s="37" t="s">
        <v>1150</v>
      </c>
      <c r="E859" s="37" t="s">
        <v>1056</v>
      </c>
      <c r="F859" s="28" t="s">
        <v>961</v>
      </c>
      <c r="G859" s="26">
        <v>168979.3</v>
      </c>
      <c r="H859" s="26">
        <v>70381.4</v>
      </c>
      <c r="I859" s="26">
        <f t="shared" si="24"/>
        <v>41.650900435733845</v>
      </c>
      <c r="J859" s="182">
        <f>SUM('[1]ведомствен.2012'!G814)</f>
        <v>168979.3</v>
      </c>
      <c r="M859" s="182" t="e">
        <f>SUM(#REF!)</f>
        <v>#REF!</v>
      </c>
    </row>
    <row r="860" spans="1:9" s="39" customFormat="1" ht="85.5">
      <c r="A860" s="38" t="s">
        <v>931</v>
      </c>
      <c r="B860" s="23"/>
      <c r="C860" s="37" t="s">
        <v>998</v>
      </c>
      <c r="D860" s="37" t="s">
        <v>1150</v>
      </c>
      <c r="E860" s="37" t="s">
        <v>1057</v>
      </c>
      <c r="F860" s="28"/>
      <c r="G860" s="26">
        <f>SUM(G861)</f>
        <v>1756.1</v>
      </c>
      <c r="H860" s="26">
        <f>SUM(H861)</f>
        <v>1365.8</v>
      </c>
      <c r="I860" s="26">
        <f t="shared" si="24"/>
        <v>77.77461420192472</v>
      </c>
    </row>
    <row r="861" spans="1:13" s="39" customFormat="1" ht="15">
      <c r="A861" s="35" t="s">
        <v>960</v>
      </c>
      <c r="B861" s="23"/>
      <c r="C861" s="37" t="s">
        <v>998</v>
      </c>
      <c r="D861" s="37" t="s">
        <v>1150</v>
      </c>
      <c r="E861" s="37" t="s">
        <v>1057</v>
      </c>
      <c r="F861" s="28" t="s">
        <v>961</v>
      </c>
      <c r="G861" s="26">
        <v>1756.1</v>
      </c>
      <c r="H861" s="26">
        <v>1365.8</v>
      </c>
      <c r="I861" s="26">
        <f t="shared" si="24"/>
        <v>77.77461420192472</v>
      </c>
      <c r="J861" s="182">
        <f>SUM('[1]ведомствен.2012'!G816)</f>
        <v>1756.1</v>
      </c>
      <c r="M861" s="182" t="e">
        <f>SUM(#REF!)</f>
        <v>#REF!</v>
      </c>
    </row>
    <row r="862" spans="1:9" s="39" customFormat="1" ht="87.75" customHeight="1">
      <c r="A862" s="38" t="s">
        <v>931</v>
      </c>
      <c r="B862" s="23"/>
      <c r="C862" s="37" t="s">
        <v>998</v>
      </c>
      <c r="D862" s="37" t="s">
        <v>1150</v>
      </c>
      <c r="E862" s="37" t="s">
        <v>1058</v>
      </c>
      <c r="F862" s="28"/>
      <c r="G862" s="26">
        <f>SUM(G863)</f>
        <v>388.7</v>
      </c>
      <c r="H862" s="26">
        <f>SUM(H863)</f>
        <v>1324.9</v>
      </c>
      <c r="I862" s="26">
        <f t="shared" si="24"/>
        <v>340.8541291484436</v>
      </c>
    </row>
    <row r="863" spans="1:13" s="39" customFormat="1" ht="14.25" customHeight="1">
      <c r="A863" s="35" t="s">
        <v>960</v>
      </c>
      <c r="B863" s="23"/>
      <c r="C863" s="37" t="s">
        <v>998</v>
      </c>
      <c r="D863" s="37" t="s">
        <v>1150</v>
      </c>
      <c r="E863" s="37" t="s">
        <v>1058</v>
      </c>
      <c r="F863" s="28" t="s">
        <v>961</v>
      </c>
      <c r="G863" s="26">
        <v>388.7</v>
      </c>
      <c r="H863" s="26">
        <v>1324.9</v>
      </c>
      <c r="I863" s="26">
        <f t="shared" si="24"/>
        <v>340.8541291484436</v>
      </c>
      <c r="J863" s="182">
        <f>SUM('[1]ведомствен.2012'!G818)</f>
        <v>388.7</v>
      </c>
      <c r="M863" s="182" t="e">
        <f>SUM(#REF!)</f>
        <v>#REF!</v>
      </c>
    </row>
    <row r="864" spans="1:9" s="39" customFormat="1" ht="28.5" customHeight="1" hidden="1">
      <c r="A864" s="262" t="s">
        <v>58</v>
      </c>
      <c r="B864" s="36"/>
      <c r="C864" s="37" t="s">
        <v>998</v>
      </c>
      <c r="D864" s="37" t="s">
        <v>1150</v>
      </c>
      <c r="E864" s="37" t="s">
        <v>1059</v>
      </c>
      <c r="F864" s="28"/>
      <c r="G864" s="26">
        <f>SUM(G865)</f>
        <v>0</v>
      </c>
      <c r="H864" s="26">
        <f>SUM(H865)</f>
        <v>0</v>
      </c>
      <c r="I864" s="26" t="e">
        <f t="shared" si="24"/>
        <v>#DIV/0!</v>
      </c>
    </row>
    <row r="865" spans="1:9" s="39" customFormat="1" ht="15" customHeight="1" hidden="1">
      <c r="A865" s="262" t="s">
        <v>960</v>
      </c>
      <c r="B865" s="36"/>
      <c r="C865" s="37" t="s">
        <v>998</v>
      </c>
      <c r="D865" s="37" t="s">
        <v>1150</v>
      </c>
      <c r="E865" s="37" t="s">
        <v>1059</v>
      </c>
      <c r="F865" s="28" t="s">
        <v>961</v>
      </c>
      <c r="G865" s="26"/>
      <c r="H865" s="26"/>
      <c r="I865" s="26" t="e">
        <f t="shared" si="24"/>
        <v>#DIV/0!</v>
      </c>
    </row>
    <row r="866" spans="1:10" ht="114" customHeight="1">
      <c r="A866" s="262" t="s">
        <v>689</v>
      </c>
      <c r="B866" s="36"/>
      <c r="C866" s="37" t="s">
        <v>998</v>
      </c>
      <c r="D866" s="37" t="s">
        <v>1150</v>
      </c>
      <c r="E866" s="37" t="s">
        <v>690</v>
      </c>
      <c r="F866" s="28"/>
      <c r="G866" s="26">
        <f>SUM(G867)</f>
        <v>10290</v>
      </c>
      <c r="H866" s="26">
        <f>SUM(H867)</f>
        <v>5141.4</v>
      </c>
      <c r="I866" s="26">
        <f t="shared" si="24"/>
        <v>49.96501457725947</v>
      </c>
      <c r="J866"/>
    </row>
    <row r="867" spans="1:13" ht="18" customHeight="1">
      <c r="A867" s="35" t="s">
        <v>960</v>
      </c>
      <c r="B867" s="36"/>
      <c r="C867" s="37" t="s">
        <v>998</v>
      </c>
      <c r="D867" s="37" t="s">
        <v>1150</v>
      </c>
      <c r="E867" s="37" t="s">
        <v>690</v>
      </c>
      <c r="F867" s="28" t="s">
        <v>961</v>
      </c>
      <c r="G867" s="26">
        <v>10290</v>
      </c>
      <c r="H867" s="26">
        <v>5141.4</v>
      </c>
      <c r="I867" s="26">
        <f t="shared" si="24"/>
        <v>49.96501457725947</v>
      </c>
      <c r="J867" s="182">
        <f>SUM('[1]ведомствен.2012'!G822)</f>
        <v>10290</v>
      </c>
      <c r="M867" s="182" t="e">
        <f>SUM(#REF!)</f>
        <v>#REF!</v>
      </c>
    </row>
    <row r="868" spans="1:10" ht="18" customHeight="1">
      <c r="A868" s="35" t="s">
        <v>691</v>
      </c>
      <c r="B868" s="23"/>
      <c r="C868" s="37" t="s">
        <v>998</v>
      </c>
      <c r="D868" s="37" t="s">
        <v>1150</v>
      </c>
      <c r="E868" s="37" t="s">
        <v>692</v>
      </c>
      <c r="F868" s="28"/>
      <c r="G868" s="26">
        <f>SUM(G869)</f>
        <v>5044.4</v>
      </c>
      <c r="H868" s="26">
        <f>SUM(H869)</f>
        <v>2256.4</v>
      </c>
      <c r="I868" s="26">
        <f t="shared" si="24"/>
        <v>44.73079057965269</v>
      </c>
      <c r="J868"/>
    </row>
    <row r="869" spans="1:13" ht="18" customHeight="1">
      <c r="A869" s="35" t="s">
        <v>960</v>
      </c>
      <c r="B869" s="23"/>
      <c r="C869" s="37" t="s">
        <v>998</v>
      </c>
      <c r="D869" s="37" t="s">
        <v>1150</v>
      </c>
      <c r="E869" s="37" t="s">
        <v>692</v>
      </c>
      <c r="F869" s="28" t="s">
        <v>961</v>
      </c>
      <c r="G869" s="26">
        <v>5044.4</v>
      </c>
      <c r="H869" s="26">
        <v>2256.4</v>
      </c>
      <c r="I869" s="26">
        <f t="shared" si="24"/>
        <v>44.73079057965269</v>
      </c>
      <c r="J869" s="182">
        <f>SUM('[1]ведомствен.2012'!G1204)</f>
        <v>5044.4</v>
      </c>
      <c r="M869" s="182" t="e">
        <f>SUM(#REF!)</f>
        <v>#REF!</v>
      </c>
    </row>
    <row r="870" spans="1:10" ht="30.75" customHeight="1">
      <c r="A870" s="35" t="s">
        <v>693</v>
      </c>
      <c r="B870" s="23"/>
      <c r="C870" s="37" t="s">
        <v>998</v>
      </c>
      <c r="D870" s="24" t="s">
        <v>1150</v>
      </c>
      <c r="E870" s="24" t="s">
        <v>694</v>
      </c>
      <c r="F870" s="28"/>
      <c r="G870" s="26">
        <f>SUM(G871)</f>
        <v>1640.6</v>
      </c>
      <c r="H870" s="26">
        <f>SUM(H871)</f>
        <v>927.6</v>
      </c>
      <c r="I870" s="26">
        <f aca="true" t="shared" si="25" ref="I870:I924">SUM(H870/G870*100)</f>
        <v>56.54029013775449</v>
      </c>
      <c r="J870"/>
    </row>
    <row r="871" spans="1:10" ht="15">
      <c r="A871" s="262" t="s">
        <v>695</v>
      </c>
      <c r="B871" s="23"/>
      <c r="C871" s="37" t="s">
        <v>998</v>
      </c>
      <c r="D871" s="24" t="s">
        <v>1150</v>
      </c>
      <c r="E871" s="24" t="s">
        <v>696</v>
      </c>
      <c r="F871" s="28"/>
      <c r="G871" s="26">
        <f>SUM(G872:G872)</f>
        <v>1640.6</v>
      </c>
      <c r="H871" s="26">
        <f>SUM(H872:H872)</f>
        <v>927.6</v>
      </c>
      <c r="I871" s="26">
        <f t="shared" si="25"/>
        <v>56.54029013775449</v>
      </c>
      <c r="J871"/>
    </row>
    <row r="872" spans="1:13" ht="14.25" customHeight="1">
      <c r="A872" s="35" t="s">
        <v>960</v>
      </c>
      <c r="B872" s="23"/>
      <c r="C872" s="37" t="s">
        <v>998</v>
      </c>
      <c r="D872" s="24" t="s">
        <v>1150</v>
      </c>
      <c r="E872" s="24" t="s">
        <v>696</v>
      </c>
      <c r="F872" s="28" t="s">
        <v>961</v>
      </c>
      <c r="G872" s="26">
        <f>1544.6+96</f>
        <v>1640.6</v>
      </c>
      <c r="H872" s="26">
        <v>927.6</v>
      </c>
      <c r="I872" s="26">
        <f t="shared" si="25"/>
        <v>56.54029013775449</v>
      </c>
      <c r="J872" s="182">
        <f>SUM('[1]ведомствен.2012'!G825)</f>
        <v>1640.6</v>
      </c>
      <c r="M872" s="182" t="e">
        <f>SUM(#REF!)</f>
        <v>#REF!</v>
      </c>
    </row>
    <row r="873" spans="1:9" s="85" customFormat="1" ht="15.75" hidden="1">
      <c r="A873" s="27" t="s">
        <v>990</v>
      </c>
      <c r="B873" s="56"/>
      <c r="C873" s="37" t="s">
        <v>998</v>
      </c>
      <c r="D873" s="37" t="s">
        <v>1150</v>
      </c>
      <c r="E873" s="37" t="s">
        <v>991</v>
      </c>
      <c r="F873" s="103"/>
      <c r="G873" s="54">
        <f>SUM(G874)</f>
        <v>0</v>
      </c>
      <c r="H873" s="54">
        <f>SUM(H874)</f>
        <v>1957.2</v>
      </c>
      <c r="I873" s="26" t="e">
        <f t="shared" si="25"/>
        <v>#DIV/0!</v>
      </c>
    </row>
    <row r="874" spans="1:9" s="85" customFormat="1" ht="57" hidden="1">
      <c r="A874" s="35" t="s">
        <v>697</v>
      </c>
      <c r="B874" s="91"/>
      <c r="C874" s="37" t="s">
        <v>998</v>
      </c>
      <c r="D874" s="37" t="s">
        <v>1150</v>
      </c>
      <c r="E874" s="37" t="s">
        <v>1124</v>
      </c>
      <c r="F874" s="103"/>
      <c r="G874" s="54">
        <f>SUM(G875)+G878</f>
        <v>0</v>
      </c>
      <c r="H874" s="54">
        <f>SUM(H875)+H878</f>
        <v>1957.2</v>
      </c>
      <c r="I874" s="26" t="e">
        <f t="shared" si="25"/>
        <v>#DIV/0!</v>
      </c>
    </row>
    <row r="875" spans="1:9" s="85" customFormat="1" ht="27.75" customHeight="1" hidden="1">
      <c r="A875" s="35" t="s">
        <v>698</v>
      </c>
      <c r="B875" s="91"/>
      <c r="C875" s="37" t="s">
        <v>998</v>
      </c>
      <c r="D875" s="37" t="s">
        <v>1150</v>
      </c>
      <c r="E875" s="37" t="s">
        <v>699</v>
      </c>
      <c r="F875" s="103"/>
      <c r="G875" s="54">
        <f>SUM(G876:G877)</f>
        <v>0</v>
      </c>
      <c r="H875" s="54">
        <f>SUM(H876:H877)</f>
        <v>0</v>
      </c>
      <c r="I875" s="26" t="e">
        <f t="shared" si="25"/>
        <v>#DIV/0!</v>
      </c>
    </row>
    <row r="876" spans="1:9" s="85" customFormat="1" ht="16.5" customHeight="1" hidden="1">
      <c r="A876" s="99" t="s">
        <v>1147</v>
      </c>
      <c r="B876" s="91"/>
      <c r="C876" s="37" t="s">
        <v>998</v>
      </c>
      <c r="D876" s="37" t="s">
        <v>1150</v>
      </c>
      <c r="E876" s="37" t="s">
        <v>699</v>
      </c>
      <c r="F876" s="103" t="s">
        <v>1148</v>
      </c>
      <c r="G876" s="54"/>
      <c r="H876" s="54"/>
      <c r="I876" s="26" t="e">
        <f t="shared" si="25"/>
        <v>#DIV/0!</v>
      </c>
    </row>
    <row r="877" spans="1:9" s="85" customFormat="1" ht="21" customHeight="1" hidden="1">
      <c r="A877" s="35" t="s">
        <v>147</v>
      </c>
      <c r="B877" s="91"/>
      <c r="C877" s="37" t="s">
        <v>998</v>
      </c>
      <c r="D877" s="37" t="s">
        <v>1150</v>
      </c>
      <c r="E877" s="37" t="s">
        <v>699</v>
      </c>
      <c r="F877" s="103" t="s">
        <v>149</v>
      </c>
      <c r="G877" s="54"/>
      <c r="H877" s="54"/>
      <c r="I877" s="26" t="e">
        <f t="shared" si="25"/>
        <v>#DIV/0!</v>
      </c>
    </row>
    <row r="878" spans="1:9" s="85" customFormat="1" ht="42.75" hidden="1">
      <c r="A878" s="35" t="s">
        <v>150</v>
      </c>
      <c r="B878" s="91"/>
      <c r="C878" s="37" t="s">
        <v>998</v>
      </c>
      <c r="D878" s="37" t="s">
        <v>1150</v>
      </c>
      <c r="E878" s="37" t="s">
        <v>148</v>
      </c>
      <c r="F878" s="103"/>
      <c r="G878" s="54">
        <f>SUM(G879)</f>
        <v>0</v>
      </c>
      <c r="H878" s="54">
        <f>SUM(H879)</f>
        <v>1957.2</v>
      </c>
      <c r="I878" s="26" t="e">
        <f t="shared" si="25"/>
        <v>#DIV/0!</v>
      </c>
    </row>
    <row r="879" spans="1:9" s="85" customFormat="1" ht="15" hidden="1">
      <c r="A879" s="35" t="s">
        <v>147</v>
      </c>
      <c r="B879" s="91"/>
      <c r="C879" s="37" t="s">
        <v>998</v>
      </c>
      <c r="D879" s="37" t="s">
        <v>1150</v>
      </c>
      <c r="E879" s="37" t="s">
        <v>148</v>
      </c>
      <c r="F879" s="103" t="s">
        <v>149</v>
      </c>
      <c r="G879" s="54"/>
      <c r="H879" s="54">
        <v>1957.2</v>
      </c>
      <c r="I879" s="26" t="e">
        <f t="shared" si="25"/>
        <v>#DIV/0!</v>
      </c>
    </row>
    <row r="880" spans="1:10" ht="18" customHeight="1">
      <c r="A880" s="268" t="s">
        <v>1186</v>
      </c>
      <c r="B880" s="23"/>
      <c r="C880" s="37" t="s">
        <v>998</v>
      </c>
      <c r="D880" s="37" t="s">
        <v>1150</v>
      </c>
      <c r="E880" s="37" t="s">
        <v>1187</v>
      </c>
      <c r="F880" s="28"/>
      <c r="G880" s="26">
        <f>SUM(G883+G881+G887)+G889</f>
        <v>11960</v>
      </c>
      <c r="H880" s="26">
        <f>SUM(H883+H881)</f>
        <v>4297.7</v>
      </c>
      <c r="I880" s="26">
        <f t="shared" si="25"/>
        <v>35.93394648829431</v>
      </c>
      <c r="J880"/>
    </row>
    <row r="881" spans="1:10" ht="44.25" customHeight="1">
      <c r="A881" s="268" t="s">
        <v>375</v>
      </c>
      <c r="B881" s="23"/>
      <c r="C881" s="37" t="s">
        <v>998</v>
      </c>
      <c r="D881" s="37" t="s">
        <v>1150</v>
      </c>
      <c r="E881" s="37" t="s">
        <v>151</v>
      </c>
      <c r="F881" s="28"/>
      <c r="G881" s="26">
        <f>SUM(G882)</f>
        <v>4460</v>
      </c>
      <c r="H881" s="26">
        <f>SUM(H882)</f>
        <v>3319.1</v>
      </c>
      <c r="I881" s="26">
        <f t="shared" si="25"/>
        <v>74.41928251121077</v>
      </c>
      <c r="J881"/>
    </row>
    <row r="882" spans="1:13" ht="19.5" customHeight="1">
      <c r="A882" s="27" t="s">
        <v>695</v>
      </c>
      <c r="B882" s="56"/>
      <c r="C882" s="37" t="s">
        <v>998</v>
      </c>
      <c r="D882" s="37" t="s">
        <v>1150</v>
      </c>
      <c r="E882" s="37" t="s">
        <v>151</v>
      </c>
      <c r="F882" s="29" t="s">
        <v>152</v>
      </c>
      <c r="G882" s="26">
        <v>4460</v>
      </c>
      <c r="H882" s="26">
        <v>3319.1</v>
      </c>
      <c r="I882" s="26">
        <f t="shared" si="25"/>
        <v>74.41928251121077</v>
      </c>
      <c r="J882" s="180">
        <f>SUM('[1]ведомствен.2012'!G828)</f>
        <v>4460</v>
      </c>
      <c r="M882" s="180" t="e">
        <f>SUM(#REF!)</f>
        <v>#REF!</v>
      </c>
    </row>
    <row r="883" spans="1:10" ht="17.25" customHeight="1" hidden="1">
      <c r="A883" s="99" t="s">
        <v>1147</v>
      </c>
      <c r="B883" s="23"/>
      <c r="C883" s="37" t="s">
        <v>998</v>
      </c>
      <c r="D883" s="37" t="s">
        <v>1150</v>
      </c>
      <c r="E883" s="37" t="s">
        <v>1187</v>
      </c>
      <c r="F883" s="28" t="s">
        <v>1148</v>
      </c>
      <c r="G883" s="26">
        <f>SUM(G884:G884)</f>
        <v>0</v>
      </c>
      <c r="H883" s="26">
        <f>SUM(H884:H884)</f>
        <v>978.6</v>
      </c>
      <c r="I883" s="26" t="e">
        <f t="shared" si="25"/>
        <v>#DIV/0!</v>
      </c>
      <c r="J883"/>
    </row>
    <row r="884" spans="1:10" ht="13.5" customHeight="1" hidden="1">
      <c r="A884" s="99" t="s">
        <v>453</v>
      </c>
      <c r="B884" s="23"/>
      <c r="C884" s="37" t="s">
        <v>998</v>
      </c>
      <c r="D884" s="37" t="s">
        <v>1150</v>
      </c>
      <c r="E884" s="33" t="s">
        <v>454</v>
      </c>
      <c r="F884" s="25" t="s">
        <v>1148</v>
      </c>
      <c r="G884" s="26">
        <f>SUM(G885:G886)</f>
        <v>0</v>
      </c>
      <c r="H884" s="26">
        <f>SUM(H885:H886)</f>
        <v>978.6</v>
      </c>
      <c r="I884" s="26" t="e">
        <f t="shared" si="25"/>
        <v>#DIV/0!</v>
      </c>
      <c r="J884"/>
    </row>
    <row r="885" spans="1:9" s="70" customFormat="1" ht="15.75" customHeight="1" hidden="1">
      <c r="A885" s="35" t="s">
        <v>698</v>
      </c>
      <c r="B885" s="36"/>
      <c r="C885" s="37" t="s">
        <v>998</v>
      </c>
      <c r="D885" s="37" t="s">
        <v>1150</v>
      </c>
      <c r="E885" s="33" t="s">
        <v>153</v>
      </c>
      <c r="F885" s="25" t="s">
        <v>1148</v>
      </c>
      <c r="G885" s="54"/>
      <c r="H885" s="54"/>
      <c r="I885" s="26" t="e">
        <f t="shared" si="25"/>
        <v>#DIV/0!</v>
      </c>
    </row>
    <row r="886" spans="1:9" s="70" customFormat="1" ht="13.5" customHeight="1" hidden="1">
      <c r="A886" s="35" t="s">
        <v>317</v>
      </c>
      <c r="B886" s="36"/>
      <c r="C886" s="37" t="s">
        <v>998</v>
      </c>
      <c r="D886" s="37" t="s">
        <v>1150</v>
      </c>
      <c r="E886" s="33" t="s">
        <v>318</v>
      </c>
      <c r="F886" s="25" t="s">
        <v>1148</v>
      </c>
      <c r="G886" s="54"/>
      <c r="H886" s="54">
        <v>978.6</v>
      </c>
      <c r="I886" s="26" t="e">
        <f t="shared" si="25"/>
        <v>#DIV/0!</v>
      </c>
    </row>
    <row r="887" spans="1:10" ht="42" customHeight="1">
      <c r="A887" s="299" t="s">
        <v>814</v>
      </c>
      <c r="B887" s="23"/>
      <c r="C887" s="37" t="s">
        <v>998</v>
      </c>
      <c r="D887" s="37" t="s">
        <v>1150</v>
      </c>
      <c r="E887" s="37" t="s">
        <v>815</v>
      </c>
      <c r="F887" s="28"/>
      <c r="G887" s="26">
        <f>SUM(G888)</f>
        <v>3000</v>
      </c>
      <c r="H887" s="26"/>
      <c r="I887" s="26"/>
      <c r="J887"/>
    </row>
    <row r="888" spans="1:10" ht="22.5" customHeight="1">
      <c r="A888" s="299" t="s">
        <v>1147</v>
      </c>
      <c r="B888" s="23"/>
      <c r="C888" s="37" t="s">
        <v>998</v>
      </c>
      <c r="D888" s="37" t="s">
        <v>1150</v>
      </c>
      <c r="E888" s="37" t="s">
        <v>815</v>
      </c>
      <c r="F888" s="28" t="s">
        <v>1148</v>
      </c>
      <c r="G888" s="26">
        <v>3000</v>
      </c>
      <c r="H888" s="26"/>
      <c r="I888" s="26"/>
      <c r="J888">
        <f>SUM('[1]ведомствен.2012'!G932)</f>
        <v>3000</v>
      </c>
    </row>
    <row r="889" spans="1:10" ht="28.5">
      <c r="A889" s="299" t="s">
        <v>221</v>
      </c>
      <c r="B889" s="23"/>
      <c r="C889" s="37" t="s">
        <v>998</v>
      </c>
      <c r="D889" s="37" t="s">
        <v>1150</v>
      </c>
      <c r="E889" s="33" t="s">
        <v>454</v>
      </c>
      <c r="F889" s="25" t="s">
        <v>1148</v>
      </c>
      <c r="G889" s="26">
        <f>SUM(G890:G891)</f>
        <v>4500</v>
      </c>
      <c r="H889" s="26"/>
      <c r="I889" s="26"/>
      <c r="J889"/>
    </row>
    <row r="890" spans="1:10" ht="36.75" customHeight="1">
      <c r="A890" s="285" t="s">
        <v>698</v>
      </c>
      <c r="B890" s="36"/>
      <c r="C890" s="37" t="s">
        <v>998</v>
      </c>
      <c r="D890" s="37" t="s">
        <v>1150</v>
      </c>
      <c r="E890" s="33" t="s">
        <v>153</v>
      </c>
      <c r="F890" s="25" t="s">
        <v>1148</v>
      </c>
      <c r="G890" s="54">
        <v>3500</v>
      </c>
      <c r="H890" s="26"/>
      <c r="I890" s="26"/>
      <c r="J890">
        <f>SUM('[1]ведомствен.2012'!G934)</f>
        <v>3500</v>
      </c>
    </row>
    <row r="891" spans="1:10" ht="53.25" customHeight="1">
      <c r="A891" s="285" t="s">
        <v>735</v>
      </c>
      <c r="B891" s="36"/>
      <c r="C891" s="37" t="s">
        <v>998</v>
      </c>
      <c r="D891" s="37" t="s">
        <v>1150</v>
      </c>
      <c r="E891" s="33" t="s">
        <v>318</v>
      </c>
      <c r="F891" s="25" t="s">
        <v>1148</v>
      </c>
      <c r="G891" s="54">
        <v>1000</v>
      </c>
      <c r="H891" s="26"/>
      <c r="I891" s="26"/>
      <c r="J891">
        <f>SUM('[1]ведомствен.2012'!G935)</f>
        <v>1000</v>
      </c>
    </row>
    <row r="892" spans="1:10" ht="18.75" customHeight="1">
      <c r="A892" s="38" t="s">
        <v>319</v>
      </c>
      <c r="B892" s="23"/>
      <c r="C892" s="33" t="s">
        <v>998</v>
      </c>
      <c r="D892" s="84" t="s">
        <v>1174</v>
      </c>
      <c r="E892" s="84"/>
      <c r="F892" s="49"/>
      <c r="G892" s="54">
        <f>SUM(G893+G897)</f>
        <v>50868.799999999996</v>
      </c>
      <c r="H892" s="54">
        <f>SUM(H893+H897)</f>
        <v>28575.699999999997</v>
      </c>
      <c r="I892" s="26">
        <f t="shared" si="25"/>
        <v>56.17529802157708</v>
      </c>
      <c r="J892"/>
    </row>
    <row r="893" spans="1:10" ht="15" customHeight="1">
      <c r="A893" s="38" t="s">
        <v>1028</v>
      </c>
      <c r="B893" s="23"/>
      <c r="C893" s="33" t="s">
        <v>998</v>
      </c>
      <c r="D893" s="84" t="s">
        <v>1174</v>
      </c>
      <c r="E893" s="84" t="s">
        <v>1029</v>
      </c>
      <c r="F893" s="49"/>
      <c r="G893" s="26">
        <f>SUM(G894)</f>
        <v>7027.2</v>
      </c>
      <c r="H893" s="26">
        <f>SUM(H894)</f>
        <v>0</v>
      </c>
      <c r="I893" s="26">
        <f t="shared" si="25"/>
        <v>0</v>
      </c>
      <c r="J893"/>
    </row>
    <row r="894" spans="1:9" s="39" customFormat="1" ht="61.5" customHeight="1">
      <c r="A894" s="285" t="s">
        <v>760</v>
      </c>
      <c r="B894" s="23"/>
      <c r="C894" s="33" t="s">
        <v>998</v>
      </c>
      <c r="D894" s="84" t="s">
        <v>1174</v>
      </c>
      <c r="E894" s="24" t="s">
        <v>761</v>
      </c>
      <c r="F894" s="25"/>
      <c r="G894" s="26">
        <f>SUM(G895)</f>
        <v>7027.2</v>
      </c>
      <c r="H894" s="54"/>
      <c r="I894" s="26"/>
    </row>
    <row r="895" spans="1:9" s="39" customFormat="1" ht="60.75" customHeight="1">
      <c r="A895" s="287" t="s">
        <v>762</v>
      </c>
      <c r="B895" s="23"/>
      <c r="C895" s="33" t="s">
        <v>998</v>
      </c>
      <c r="D895" s="84" t="s">
        <v>1174</v>
      </c>
      <c r="E895" s="24" t="s">
        <v>763</v>
      </c>
      <c r="F895" s="28"/>
      <c r="G895" s="26">
        <f>SUM(G896)</f>
        <v>7027.2</v>
      </c>
      <c r="H895" s="54"/>
      <c r="I895" s="26"/>
    </row>
    <row r="896" spans="1:10" s="39" customFormat="1" ht="16.5" customHeight="1">
      <c r="A896" s="285" t="s">
        <v>960</v>
      </c>
      <c r="B896" s="91"/>
      <c r="C896" s="33" t="s">
        <v>998</v>
      </c>
      <c r="D896" s="84" t="s">
        <v>1174</v>
      </c>
      <c r="E896" s="24" t="s">
        <v>763</v>
      </c>
      <c r="F896" s="103" t="s">
        <v>961</v>
      </c>
      <c r="G896" s="54">
        <v>7027.2</v>
      </c>
      <c r="H896" s="54"/>
      <c r="I896" s="26"/>
      <c r="J896" s="39">
        <f>SUM('[1]ведомствен.2012'!G939)</f>
        <v>7027.2</v>
      </c>
    </row>
    <row r="897" spans="1:10" ht="21" customHeight="1">
      <c r="A897" s="268" t="s">
        <v>322</v>
      </c>
      <c r="B897" s="23"/>
      <c r="C897" s="33" t="s">
        <v>998</v>
      </c>
      <c r="D897" s="84" t="s">
        <v>1174</v>
      </c>
      <c r="E897" s="84" t="s">
        <v>67</v>
      </c>
      <c r="F897" s="28"/>
      <c r="G897" s="26">
        <f>SUM(G901+G898)</f>
        <v>43841.6</v>
      </c>
      <c r="H897" s="26">
        <f>SUM(H901+H898)</f>
        <v>28575.699999999997</v>
      </c>
      <c r="I897" s="26">
        <f t="shared" si="25"/>
        <v>65.1794186343564</v>
      </c>
      <c r="J897"/>
    </row>
    <row r="898" spans="1:10" ht="55.5" customHeight="1">
      <c r="A898" s="267" t="s">
        <v>323</v>
      </c>
      <c r="B898" s="23"/>
      <c r="C898" s="33" t="s">
        <v>998</v>
      </c>
      <c r="D898" s="84" t="s">
        <v>1174</v>
      </c>
      <c r="E898" s="37" t="s">
        <v>324</v>
      </c>
      <c r="F898" s="29"/>
      <c r="G898" s="54">
        <f>SUM(G900)</f>
        <v>13330.1</v>
      </c>
      <c r="H898" s="54">
        <f>SUM(H900)</f>
        <v>11370.3</v>
      </c>
      <c r="I898" s="26">
        <f t="shared" si="25"/>
        <v>85.29793474917666</v>
      </c>
      <c r="J898"/>
    </row>
    <row r="899" spans="1:10" ht="73.5" customHeight="1">
      <c r="A899" s="267" t="s">
        <v>325</v>
      </c>
      <c r="B899" s="23"/>
      <c r="C899" s="33" t="s">
        <v>998</v>
      </c>
      <c r="D899" s="84" t="s">
        <v>1174</v>
      </c>
      <c r="E899" s="37" t="s">
        <v>326</v>
      </c>
      <c r="F899" s="29"/>
      <c r="G899" s="54">
        <f>SUM(G900)</f>
        <v>13330.1</v>
      </c>
      <c r="H899" s="54">
        <f>SUM(H900)</f>
        <v>11370.3</v>
      </c>
      <c r="I899" s="26">
        <f t="shared" si="25"/>
        <v>85.29793474917666</v>
      </c>
      <c r="J899"/>
    </row>
    <row r="900" spans="1:13" ht="21" customHeight="1">
      <c r="A900" s="267" t="s">
        <v>960</v>
      </c>
      <c r="B900" s="23"/>
      <c r="C900" s="33" t="s">
        <v>998</v>
      </c>
      <c r="D900" s="84" t="s">
        <v>1174</v>
      </c>
      <c r="E900" s="37" t="s">
        <v>326</v>
      </c>
      <c r="F900" s="29" t="s">
        <v>961</v>
      </c>
      <c r="G900" s="54">
        <v>13330.1</v>
      </c>
      <c r="H900" s="54">
        <v>11370.3</v>
      </c>
      <c r="I900" s="26">
        <f t="shared" si="25"/>
        <v>85.29793474917666</v>
      </c>
      <c r="J900" s="180">
        <f>SUM('[1]ведомствен.2012'!G1209)</f>
        <v>13330.1</v>
      </c>
      <c r="M900" s="180" t="e">
        <f>SUM(#REF!)</f>
        <v>#REF!</v>
      </c>
    </row>
    <row r="901" spans="1:10" ht="28.5">
      <c r="A901" s="268" t="s">
        <v>327</v>
      </c>
      <c r="B901" s="23"/>
      <c r="C901" s="33" t="s">
        <v>998</v>
      </c>
      <c r="D901" s="84" t="s">
        <v>1174</v>
      </c>
      <c r="E901" s="84" t="s">
        <v>328</v>
      </c>
      <c r="F901" s="49"/>
      <c r="G901" s="26">
        <f>SUM(G902)</f>
        <v>30511.5</v>
      </c>
      <c r="H901" s="26">
        <f>SUM(H902)</f>
        <v>17205.399999999998</v>
      </c>
      <c r="I901" s="26">
        <f t="shared" si="25"/>
        <v>56.38988578077117</v>
      </c>
      <c r="J901"/>
    </row>
    <row r="902" spans="1:10" ht="70.5" customHeight="1">
      <c r="A902" s="262" t="s">
        <v>329</v>
      </c>
      <c r="B902" s="23"/>
      <c r="C902" s="33" t="s">
        <v>998</v>
      </c>
      <c r="D902" s="33" t="s">
        <v>1174</v>
      </c>
      <c r="E902" s="84" t="s">
        <v>328</v>
      </c>
      <c r="F902" s="103"/>
      <c r="G902" s="26">
        <f>SUM(G907+G909+G903+G905)</f>
        <v>30511.5</v>
      </c>
      <c r="H902" s="26">
        <f>SUM(H907+H909+H903+H905)</f>
        <v>17205.399999999998</v>
      </c>
      <c r="I902" s="26">
        <f t="shared" si="25"/>
        <v>56.38988578077117</v>
      </c>
      <c r="J902"/>
    </row>
    <row r="903" spans="1:10" ht="26.25" customHeight="1">
      <c r="A903" s="262" t="s">
        <v>330</v>
      </c>
      <c r="B903" s="23"/>
      <c r="C903" s="33" t="s">
        <v>998</v>
      </c>
      <c r="D903" s="33" t="s">
        <v>1174</v>
      </c>
      <c r="E903" s="84" t="s">
        <v>331</v>
      </c>
      <c r="F903" s="103"/>
      <c r="G903" s="26">
        <f>SUM(G904)</f>
        <v>5347.8</v>
      </c>
      <c r="H903" s="26">
        <f>SUM(H904)</f>
        <v>241.8</v>
      </c>
      <c r="I903" s="26">
        <f t="shared" si="25"/>
        <v>4.521485470660832</v>
      </c>
      <c r="J903"/>
    </row>
    <row r="904" spans="1:13" ht="30" customHeight="1">
      <c r="A904" s="262" t="s">
        <v>332</v>
      </c>
      <c r="B904" s="23"/>
      <c r="C904" s="33" t="s">
        <v>998</v>
      </c>
      <c r="D904" s="33" t="s">
        <v>1174</v>
      </c>
      <c r="E904" s="84" t="s">
        <v>331</v>
      </c>
      <c r="F904" s="103" t="s">
        <v>333</v>
      </c>
      <c r="G904" s="26">
        <v>5347.8</v>
      </c>
      <c r="H904" s="26">
        <v>241.8</v>
      </c>
      <c r="I904" s="26">
        <f t="shared" si="25"/>
        <v>4.521485470660832</v>
      </c>
      <c r="J904" s="180">
        <f>SUM('[1]ведомствен.2012'!G836)</f>
        <v>5347.8</v>
      </c>
      <c r="M904" s="180" t="e">
        <f>SUM(#REF!)</f>
        <v>#REF!</v>
      </c>
    </row>
    <row r="905" spans="1:10" ht="26.25" customHeight="1">
      <c r="A905" s="262" t="s">
        <v>334</v>
      </c>
      <c r="B905" s="23"/>
      <c r="C905" s="33" t="s">
        <v>998</v>
      </c>
      <c r="D905" s="33" t="s">
        <v>1174</v>
      </c>
      <c r="E905" s="84" t="s">
        <v>335</v>
      </c>
      <c r="F905" s="103"/>
      <c r="G905" s="26">
        <f>SUM(G906)</f>
        <v>663.7</v>
      </c>
      <c r="H905" s="26">
        <f>SUM(H906)</f>
        <v>252</v>
      </c>
      <c r="I905" s="26">
        <f t="shared" si="25"/>
        <v>37.96896188036764</v>
      </c>
      <c r="J905"/>
    </row>
    <row r="906" spans="1:13" ht="36.75" customHeight="1">
      <c r="A906" s="262" t="s">
        <v>332</v>
      </c>
      <c r="B906" s="23"/>
      <c r="C906" s="33" t="s">
        <v>998</v>
      </c>
      <c r="D906" s="33" t="s">
        <v>1174</v>
      </c>
      <c r="E906" s="84" t="s">
        <v>335</v>
      </c>
      <c r="F906" s="103" t="s">
        <v>333</v>
      </c>
      <c r="G906" s="26">
        <v>663.7</v>
      </c>
      <c r="H906" s="26">
        <v>252</v>
      </c>
      <c r="I906" s="26">
        <f t="shared" si="25"/>
        <v>37.96896188036764</v>
      </c>
      <c r="J906" s="180">
        <f>SUM('[1]ведомствен.2012'!G838)</f>
        <v>663.7</v>
      </c>
      <c r="M906" s="180" t="e">
        <f>SUM(#REF!)</f>
        <v>#REF!</v>
      </c>
    </row>
    <row r="907" spans="1:10" ht="32.25" customHeight="1" hidden="1">
      <c r="A907" s="262" t="s">
        <v>336</v>
      </c>
      <c r="B907" s="23"/>
      <c r="C907" s="33" t="s">
        <v>998</v>
      </c>
      <c r="D907" s="33" t="s">
        <v>1174</v>
      </c>
      <c r="E907" s="84" t="s">
        <v>337</v>
      </c>
      <c r="F907" s="103"/>
      <c r="G907" s="26">
        <f>SUM(G908)</f>
        <v>0</v>
      </c>
      <c r="H907" s="26">
        <f>SUM(H908)</f>
        <v>0</v>
      </c>
      <c r="I907" s="26" t="e">
        <f t="shared" si="25"/>
        <v>#DIV/0!</v>
      </c>
      <c r="J907"/>
    </row>
    <row r="908" spans="1:10" ht="28.5" customHeight="1" hidden="1">
      <c r="A908" s="262" t="s">
        <v>332</v>
      </c>
      <c r="B908" s="23"/>
      <c r="C908" s="33" t="s">
        <v>998</v>
      </c>
      <c r="D908" s="33" t="s">
        <v>1174</v>
      </c>
      <c r="E908" s="84" t="s">
        <v>337</v>
      </c>
      <c r="F908" s="103" t="s">
        <v>333</v>
      </c>
      <c r="G908" s="26"/>
      <c r="H908" s="26"/>
      <c r="I908" s="26" t="e">
        <f t="shared" si="25"/>
        <v>#DIV/0!</v>
      </c>
      <c r="J908"/>
    </row>
    <row r="909" spans="1:10" ht="28.5" customHeight="1">
      <c r="A909" s="262" t="s">
        <v>332</v>
      </c>
      <c r="B909" s="23"/>
      <c r="C909" s="33" t="s">
        <v>998</v>
      </c>
      <c r="D909" s="33" t="s">
        <v>1174</v>
      </c>
      <c r="E909" s="84" t="s">
        <v>338</v>
      </c>
      <c r="F909" s="103"/>
      <c r="G909" s="26">
        <f>SUM(G910)</f>
        <v>24500</v>
      </c>
      <c r="H909" s="26">
        <f>SUM(H910)</f>
        <v>16711.6</v>
      </c>
      <c r="I909" s="26">
        <f t="shared" si="25"/>
        <v>68.21061224489794</v>
      </c>
      <c r="J909"/>
    </row>
    <row r="910" spans="1:13" ht="63" customHeight="1">
      <c r="A910" s="262" t="s">
        <v>339</v>
      </c>
      <c r="B910" s="23"/>
      <c r="C910" s="33" t="s">
        <v>998</v>
      </c>
      <c r="D910" s="33" t="s">
        <v>1174</v>
      </c>
      <c r="E910" s="84" t="s">
        <v>338</v>
      </c>
      <c r="F910" s="103" t="s">
        <v>333</v>
      </c>
      <c r="G910" s="26">
        <v>24500</v>
      </c>
      <c r="H910" s="26">
        <v>16711.6</v>
      </c>
      <c r="I910" s="26">
        <f t="shared" si="25"/>
        <v>68.21061224489794</v>
      </c>
      <c r="J910" s="180">
        <f>SUM('[1]ведомствен.2012'!G844)</f>
        <v>24500</v>
      </c>
      <c r="M910" s="180" t="e">
        <f>SUM(#REF!)</f>
        <v>#REF!</v>
      </c>
    </row>
    <row r="911" spans="1:10" ht="19.5" customHeight="1">
      <c r="A911" s="99" t="s">
        <v>340</v>
      </c>
      <c r="B911" s="23"/>
      <c r="C911" s="84" t="s">
        <v>998</v>
      </c>
      <c r="D911" s="84" t="s">
        <v>642</v>
      </c>
      <c r="E911" s="84"/>
      <c r="F911" s="49"/>
      <c r="G911" s="54">
        <f>SUM(G912+G927)+G925</f>
        <v>47613.899999999994</v>
      </c>
      <c r="H911" s="54" t="e">
        <f>SUM(H912+H953)</f>
        <v>#REF!</v>
      </c>
      <c r="I911" s="26" t="e">
        <f t="shared" si="25"/>
        <v>#REF!</v>
      </c>
      <c r="J911"/>
    </row>
    <row r="912" spans="1:10" ht="42.75">
      <c r="A912" s="27" t="s">
        <v>1143</v>
      </c>
      <c r="B912" s="23"/>
      <c r="C912" s="24" t="s">
        <v>998</v>
      </c>
      <c r="D912" s="24" t="s">
        <v>642</v>
      </c>
      <c r="E912" s="24" t="s">
        <v>1144</v>
      </c>
      <c r="F912" s="28"/>
      <c r="G912" s="26">
        <f>SUM(G913)</f>
        <v>26544.899999999998</v>
      </c>
      <c r="H912" s="26">
        <f>SUM(H913)</f>
        <v>15109.2</v>
      </c>
      <c r="I912" s="26">
        <f t="shared" si="25"/>
        <v>56.91940824791204</v>
      </c>
      <c r="J912"/>
    </row>
    <row r="913" spans="1:10" ht="15">
      <c r="A913" s="27" t="s">
        <v>1151</v>
      </c>
      <c r="B913" s="23"/>
      <c r="C913" s="24" t="s">
        <v>998</v>
      </c>
      <c r="D913" s="24" t="s">
        <v>642</v>
      </c>
      <c r="E913" s="24" t="s">
        <v>1153</v>
      </c>
      <c r="F913" s="28"/>
      <c r="G913" s="26">
        <f>SUM(G914+G917+G923+G921)</f>
        <v>26544.899999999998</v>
      </c>
      <c r="H913" s="26">
        <f>SUM(H914+H917+H923+H921)</f>
        <v>15109.2</v>
      </c>
      <c r="I913" s="26">
        <f t="shared" si="25"/>
        <v>56.91940824791204</v>
      </c>
      <c r="J913"/>
    </row>
    <row r="914" spans="1:13" ht="14.25" customHeight="1">
      <c r="A914" s="99" t="s">
        <v>1147</v>
      </c>
      <c r="B914" s="112"/>
      <c r="C914" s="24" t="s">
        <v>998</v>
      </c>
      <c r="D914" s="24" t="s">
        <v>642</v>
      </c>
      <c r="E914" s="24" t="s">
        <v>1153</v>
      </c>
      <c r="F914" s="169" t="s">
        <v>1148</v>
      </c>
      <c r="G914" s="26">
        <v>2564.1</v>
      </c>
      <c r="H914" s="26">
        <v>227.6</v>
      </c>
      <c r="I914" s="26">
        <f t="shared" si="25"/>
        <v>8.876408876408878</v>
      </c>
      <c r="J914" s="180">
        <f>SUM('[1]ведомствен.2012'!G848)</f>
        <v>2564.1</v>
      </c>
      <c r="M914" s="180" t="e">
        <f>SUM(#REF!)</f>
        <v>#REF!</v>
      </c>
    </row>
    <row r="915" spans="1:10" ht="28.5" customHeight="1" hidden="1">
      <c r="A915" s="99" t="s">
        <v>341</v>
      </c>
      <c r="B915" s="112"/>
      <c r="C915" s="24" t="s">
        <v>998</v>
      </c>
      <c r="D915" s="24" t="s">
        <v>642</v>
      </c>
      <c r="E915" s="24" t="s">
        <v>342</v>
      </c>
      <c r="F915" s="113"/>
      <c r="G915" s="26">
        <f>SUM(G916)</f>
        <v>0</v>
      </c>
      <c r="H915" s="26">
        <f>SUM(H916)</f>
        <v>0</v>
      </c>
      <c r="I915" s="26" t="e">
        <f t="shared" si="25"/>
        <v>#DIV/0!</v>
      </c>
      <c r="J915"/>
    </row>
    <row r="916" spans="1:10" ht="14.25" customHeight="1" hidden="1">
      <c r="A916" s="99" t="s">
        <v>1147</v>
      </c>
      <c r="B916" s="112"/>
      <c r="C916" s="24" t="s">
        <v>998</v>
      </c>
      <c r="D916" s="24" t="s">
        <v>642</v>
      </c>
      <c r="E916" s="24" t="s">
        <v>342</v>
      </c>
      <c r="F916" s="113" t="s">
        <v>1148</v>
      </c>
      <c r="G916" s="26"/>
      <c r="H916" s="26"/>
      <c r="I916" s="26" t="e">
        <f t="shared" si="25"/>
        <v>#DIV/0!</v>
      </c>
      <c r="J916"/>
    </row>
    <row r="917" spans="1:10" ht="27" customHeight="1">
      <c r="A917" s="99" t="s">
        <v>343</v>
      </c>
      <c r="B917" s="112"/>
      <c r="C917" s="24" t="s">
        <v>998</v>
      </c>
      <c r="D917" s="24" t="s">
        <v>642</v>
      </c>
      <c r="E917" s="24" t="s">
        <v>344</v>
      </c>
      <c r="F917" s="113"/>
      <c r="G917" s="26">
        <f>SUM(G918)</f>
        <v>4023.2</v>
      </c>
      <c r="H917" s="26">
        <f>SUM(H918)</f>
        <v>2507.7</v>
      </c>
      <c r="I917" s="26">
        <f t="shared" si="25"/>
        <v>62.330980314177765</v>
      </c>
      <c r="J917"/>
    </row>
    <row r="918" spans="1:13" ht="24" customHeight="1">
      <c r="A918" s="99" t="s">
        <v>1147</v>
      </c>
      <c r="B918" s="53"/>
      <c r="C918" s="24" t="s">
        <v>998</v>
      </c>
      <c r="D918" s="24" t="s">
        <v>642</v>
      </c>
      <c r="E918" s="24" t="s">
        <v>344</v>
      </c>
      <c r="F918" s="169" t="s">
        <v>1148</v>
      </c>
      <c r="G918" s="26">
        <v>4023.2</v>
      </c>
      <c r="H918" s="26">
        <v>2507.7</v>
      </c>
      <c r="I918" s="26">
        <f t="shared" si="25"/>
        <v>62.330980314177765</v>
      </c>
      <c r="J918" s="180">
        <f>SUM('[1]ведомствен.2012'!G852)</f>
        <v>4023.2</v>
      </c>
      <c r="M918" s="180" t="e">
        <f>SUM(#REF!)</f>
        <v>#REF!</v>
      </c>
    </row>
    <row r="919" spans="1:10" ht="42.75" customHeight="1" hidden="1">
      <c r="A919" s="99" t="s">
        <v>345</v>
      </c>
      <c r="B919" s="53"/>
      <c r="C919" s="24" t="s">
        <v>998</v>
      </c>
      <c r="D919" s="24" t="s">
        <v>642</v>
      </c>
      <c r="E919" s="24" t="s">
        <v>346</v>
      </c>
      <c r="F919" s="169"/>
      <c r="G919" s="26"/>
      <c r="H919" s="26"/>
      <c r="I919" s="26" t="e">
        <f t="shared" si="25"/>
        <v>#DIV/0!</v>
      </c>
      <c r="J919"/>
    </row>
    <row r="920" spans="1:9" s="118" customFormat="1" ht="18.75" customHeight="1" hidden="1">
      <c r="A920" s="272" t="s">
        <v>1147</v>
      </c>
      <c r="B920" s="114"/>
      <c r="C920" s="115" t="s">
        <v>998</v>
      </c>
      <c r="D920" s="115" t="s">
        <v>642</v>
      </c>
      <c r="E920" s="115" t="s">
        <v>346</v>
      </c>
      <c r="F920" s="334" t="s">
        <v>1148</v>
      </c>
      <c r="G920" s="117"/>
      <c r="H920" s="117"/>
      <c r="I920" s="26" t="e">
        <f t="shared" si="25"/>
        <v>#DIV/0!</v>
      </c>
    </row>
    <row r="921" spans="1:10" ht="28.5">
      <c r="A921" s="99" t="s">
        <v>341</v>
      </c>
      <c r="B921" s="112"/>
      <c r="C921" s="24" t="s">
        <v>998</v>
      </c>
      <c r="D921" s="24" t="s">
        <v>642</v>
      </c>
      <c r="E921" s="24" t="s">
        <v>342</v>
      </c>
      <c r="F921" s="169"/>
      <c r="G921" s="26">
        <f>SUM(G922)</f>
        <v>16483.8</v>
      </c>
      <c r="H921" s="26">
        <f>SUM(H922)</f>
        <v>10267.1</v>
      </c>
      <c r="I921" s="26">
        <f t="shared" si="25"/>
        <v>62.2860020140987</v>
      </c>
      <c r="J921"/>
    </row>
    <row r="922" spans="1:13" ht="14.25" customHeight="1">
      <c r="A922" s="99" t="s">
        <v>1147</v>
      </c>
      <c r="B922" s="112"/>
      <c r="C922" s="24" t="s">
        <v>998</v>
      </c>
      <c r="D922" s="24" t="s">
        <v>642</v>
      </c>
      <c r="E922" s="24" t="s">
        <v>342</v>
      </c>
      <c r="F922" s="169" t="s">
        <v>1148</v>
      </c>
      <c r="G922" s="26">
        <v>16483.8</v>
      </c>
      <c r="H922" s="26">
        <v>10267.1</v>
      </c>
      <c r="I922" s="26">
        <f t="shared" si="25"/>
        <v>62.2860020140987</v>
      </c>
      <c r="J922" s="180">
        <f>SUM('[1]ведомствен.2012'!G856)</f>
        <v>16483.8</v>
      </c>
      <c r="M922" s="180" t="e">
        <f>SUM(#REF!)</f>
        <v>#REF!</v>
      </c>
    </row>
    <row r="923" spans="1:10" ht="42.75">
      <c r="A923" s="99" t="s">
        <v>345</v>
      </c>
      <c r="B923" s="53"/>
      <c r="C923" s="24" t="s">
        <v>998</v>
      </c>
      <c r="D923" s="24" t="s">
        <v>642</v>
      </c>
      <c r="E923" s="24" t="s">
        <v>347</v>
      </c>
      <c r="F923" s="169"/>
      <c r="G923" s="26">
        <f>SUM(G924)</f>
        <v>3473.8</v>
      </c>
      <c r="H923" s="26">
        <f>SUM(H924)</f>
        <v>2106.8</v>
      </c>
      <c r="I923" s="26">
        <f t="shared" si="25"/>
        <v>60.64828142092233</v>
      </c>
      <c r="J923"/>
    </row>
    <row r="924" spans="1:13" s="118" customFormat="1" ht="18" customHeight="1">
      <c r="A924" s="272" t="s">
        <v>1147</v>
      </c>
      <c r="B924" s="114"/>
      <c r="C924" s="115" t="s">
        <v>998</v>
      </c>
      <c r="D924" s="115" t="s">
        <v>642</v>
      </c>
      <c r="E924" s="24" t="s">
        <v>347</v>
      </c>
      <c r="F924" s="334" t="s">
        <v>1148</v>
      </c>
      <c r="G924" s="117">
        <v>3473.8</v>
      </c>
      <c r="H924" s="117">
        <v>2106.8</v>
      </c>
      <c r="I924" s="26">
        <f t="shared" si="25"/>
        <v>60.64828142092233</v>
      </c>
      <c r="J924" s="180">
        <f>SUM('[1]ведомствен.2012'!G858)</f>
        <v>3473.8</v>
      </c>
      <c r="M924" s="180" t="e">
        <f>SUM(#REF!)</f>
        <v>#REF!</v>
      </c>
    </row>
    <row r="925" spans="1:10" ht="48.75" customHeight="1">
      <c r="A925" s="38" t="s">
        <v>756</v>
      </c>
      <c r="B925" s="30"/>
      <c r="C925" s="84" t="s">
        <v>998</v>
      </c>
      <c r="D925" s="84" t="s">
        <v>642</v>
      </c>
      <c r="E925" s="24" t="s">
        <v>757</v>
      </c>
      <c r="F925" s="25"/>
      <c r="G925" s="54">
        <f>SUM(G926)</f>
        <v>20066.7</v>
      </c>
      <c r="H925" s="54" t="e">
        <f>SUM(#REF!)</f>
        <v>#REF!</v>
      </c>
      <c r="I925" s="26" t="e">
        <f>SUM(H925/G925*100)</f>
        <v>#REF!</v>
      </c>
      <c r="J925"/>
    </row>
    <row r="926" spans="1:13" ht="18" customHeight="1">
      <c r="A926" s="41" t="s">
        <v>494</v>
      </c>
      <c r="B926" s="30"/>
      <c r="C926" s="84" t="s">
        <v>998</v>
      </c>
      <c r="D926" s="84" t="s">
        <v>642</v>
      </c>
      <c r="E926" s="24" t="s">
        <v>757</v>
      </c>
      <c r="F926" s="25" t="s">
        <v>142</v>
      </c>
      <c r="G926" s="54">
        <v>20066.7</v>
      </c>
      <c r="H926" s="54"/>
      <c r="I926" s="26">
        <f>SUM(H926/G926*100)</f>
        <v>0</v>
      </c>
      <c r="J926">
        <f>SUM('[1]ведомствен.2012'!G618)</f>
        <v>20066.699999999997</v>
      </c>
      <c r="M926" t="e">
        <f>SUM(#REF!)</f>
        <v>#REF!</v>
      </c>
    </row>
    <row r="927" spans="1:10" ht="18.75" customHeight="1">
      <c r="A927" s="268" t="s">
        <v>1186</v>
      </c>
      <c r="B927" s="23"/>
      <c r="C927" s="24" t="s">
        <v>998</v>
      </c>
      <c r="D927" s="24" t="s">
        <v>642</v>
      </c>
      <c r="E927" s="37" t="s">
        <v>1187</v>
      </c>
      <c r="F927" s="28"/>
      <c r="G927" s="26">
        <f>SUM(G928)</f>
        <v>1002.3000000000001</v>
      </c>
      <c r="H927" s="26"/>
      <c r="I927" s="26"/>
      <c r="J927"/>
    </row>
    <row r="928" spans="1:10" ht="104.25" customHeight="1">
      <c r="A928" s="299" t="s">
        <v>219</v>
      </c>
      <c r="B928" s="112"/>
      <c r="C928" s="24" t="s">
        <v>998</v>
      </c>
      <c r="D928" s="24" t="s">
        <v>642</v>
      </c>
      <c r="E928" s="37" t="s">
        <v>600</v>
      </c>
      <c r="F928" s="169"/>
      <c r="G928" s="26">
        <f>SUM(G929:G931)</f>
        <v>1002.3000000000001</v>
      </c>
      <c r="H928" s="26"/>
      <c r="I928" s="26"/>
      <c r="J928"/>
    </row>
    <row r="929" spans="1:10" ht="18" customHeight="1">
      <c r="A929" s="272" t="s">
        <v>1147</v>
      </c>
      <c r="B929" s="36"/>
      <c r="C929" s="24" t="s">
        <v>998</v>
      </c>
      <c r="D929" s="24" t="s">
        <v>642</v>
      </c>
      <c r="E929" s="37" t="s">
        <v>600</v>
      </c>
      <c r="F929" s="28" t="s">
        <v>1148</v>
      </c>
      <c r="G929" s="26">
        <v>2.3</v>
      </c>
      <c r="H929" s="26">
        <v>1026.3</v>
      </c>
      <c r="I929" s="26">
        <f>SUM(H929/G929*100)</f>
        <v>44621.739130434784</v>
      </c>
      <c r="J929">
        <f>SUM('[1]ведомствен.2012'!G861)</f>
        <v>2.3</v>
      </c>
    </row>
    <row r="930" spans="1:10" ht="58.5" customHeight="1">
      <c r="A930" s="299" t="s">
        <v>315</v>
      </c>
      <c r="B930" s="112"/>
      <c r="C930" s="24" t="s">
        <v>998</v>
      </c>
      <c r="D930" s="24" t="s">
        <v>642</v>
      </c>
      <c r="E930" s="37" t="s">
        <v>600</v>
      </c>
      <c r="F930" s="169" t="s">
        <v>496</v>
      </c>
      <c r="G930" s="26">
        <v>345.8</v>
      </c>
      <c r="H930" s="26"/>
      <c r="I930" s="26"/>
      <c r="J930">
        <f>SUM('[1]ведомствен.2012'!G862)</f>
        <v>345.8</v>
      </c>
    </row>
    <row r="931" spans="1:10" ht="32.25" customHeight="1">
      <c r="A931" s="299" t="s">
        <v>316</v>
      </c>
      <c r="B931" s="112"/>
      <c r="C931" s="24" t="s">
        <v>998</v>
      </c>
      <c r="D931" s="24" t="s">
        <v>642</v>
      </c>
      <c r="E931" s="37" t="s">
        <v>600</v>
      </c>
      <c r="F931" s="169" t="s">
        <v>772</v>
      </c>
      <c r="G931" s="26">
        <v>654.2</v>
      </c>
      <c r="H931" s="26"/>
      <c r="I931" s="26"/>
      <c r="J931">
        <f>SUM('[1]ведомствен.2012'!G863)</f>
        <v>654.2</v>
      </c>
    </row>
    <row r="932" spans="1:9" s="228" customFormat="1" ht="18" customHeight="1">
      <c r="A932" s="263" t="s">
        <v>134</v>
      </c>
      <c r="B932" s="42"/>
      <c r="C932" s="43" t="s">
        <v>36</v>
      </c>
      <c r="D932" s="43"/>
      <c r="E932" s="43"/>
      <c r="F932" s="44"/>
      <c r="G932" s="45">
        <f>SUM(G933+G940)</f>
        <v>12869.8</v>
      </c>
      <c r="H932" s="227"/>
      <c r="I932" s="45"/>
    </row>
    <row r="933" spans="1:13" s="118" customFormat="1" ht="15.75" customHeight="1">
      <c r="A933" s="35" t="s">
        <v>113</v>
      </c>
      <c r="B933" s="23"/>
      <c r="C933" s="24" t="s">
        <v>36</v>
      </c>
      <c r="D933" s="24" t="s">
        <v>1140</v>
      </c>
      <c r="E933" s="24"/>
      <c r="F933" s="25"/>
      <c r="G933" s="26">
        <f>SUM(G934,G937)</f>
        <v>2970</v>
      </c>
      <c r="H933" s="117"/>
      <c r="I933" s="26"/>
      <c r="K933" s="118">
        <f>SUM(J934:J948)</f>
        <v>12869.8</v>
      </c>
      <c r="M933" s="118" t="e">
        <f>SUM(#REF!)</f>
        <v>#REF!</v>
      </c>
    </row>
    <row r="934" spans="1:9" s="118" customFormat="1" ht="15" customHeight="1" hidden="1">
      <c r="A934" s="35" t="s">
        <v>104</v>
      </c>
      <c r="B934" s="23"/>
      <c r="C934" s="24" t="s">
        <v>36</v>
      </c>
      <c r="D934" s="24" t="s">
        <v>1140</v>
      </c>
      <c r="E934" s="46" t="s">
        <v>63</v>
      </c>
      <c r="F934" s="25"/>
      <c r="G934" s="26">
        <f>SUM(G935)</f>
        <v>0</v>
      </c>
      <c r="H934" s="117"/>
      <c r="I934" s="26"/>
    </row>
    <row r="935" spans="1:9" s="118" customFormat="1" ht="27" customHeight="1" hidden="1">
      <c r="A935" s="35" t="s">
        <v>574</v>
      </c>
      <c r="B935" s="23"/>
      <c r="C935" s="24" t="s">
        <v>36</v>
      </c>
      <c r="D935" s="24" t="s">
        <v>1140</v>
      </c>
      <c r="E935" s="46" t="s">
        <v>64</v>
      </c>
      <c r="F935" s="25"/>
      <c r="G935" s="26">
        <f>SUM(G936)</f>
        <v>0</v>
      </c>
      <c r="H935" s="117"/>
      <c r="I935" s="26"/>
    </row>
    <row r="936" spans="1:13" s="118" customFormat="1" ht="15" customHeight="1" hidden="1">
      <c r="A936" s="27" t="s">
        <v>1147</v>
      </c>
      <c r="B936" s="23"/>
      <c r="C936" s="24" t="s">
        <v>36</v>
      </c>
      <c r="D936" s="24" t="s">
        <v>1140</v>
      </c>
      <c r="E936" s="46" t="s">
        <v>64</v>
      </c>
      <c r="F936" s="25" t="s">
        <v>1148</v>
      </c>
      <c r="G936" s="26">
        <f>3278.8-3278.8</f>
        <v>0</v>
      </c>
      <c r="H936" s="117"/>
      <c r="I936" s="26"/>
      <c r="J936" s="180"/>
      <c r="M936" s="180" t="e">
        <f>SUM(#REF!)</f>
        <v>#REF!</v>
      </c>
    </row>
    <row r="937" spans="1:13" s="118" customFormat="1" ht="15" customHeight="1">
      <c r="A937" s="268" t="s">
        <v>1186</v>
      </c>
      <c r="B937" s="23"/>
      <c r="C937" s="24" t="s">
        <v>36</v>
      </c>
      <c r="D937" s="24" t="s">
        <v>1140</v>
      </c>
      <c r="E937" s="46" t="s">
        <v>1187</v>
      </c>
      <c r="F937" s="25"/>
      <c r="G937" s="26">
        <f>SUM(G938)</f>
        <v>2970</v>
      </c>
      <c r="H937" s="117"/>
      <c r="I937" s="26"/>
      <c r="J937" s="180"/>
      <c r="M937" s="180"/>
    </row>
    <row r="938" spans="1:13" s="118" customFormat="1" ht="46.5" customHeight="1">
      <c r="A938" s="286" t="s">
        <v>813</v>
      </c>
      <c r="B938" s="23"/>
      <c r="C938" s="24" t="s">
        <v>36</v>
      </c>
      <c r="D938" s="24" t="s">
        <v>1140</v>
      </c>
      <c r="E938" s="46" t="s">
        <v>811</v>
      </c>
      <c r="F938" s="25"/>
      <c r="G938" s="26">
        <f>SUM(G939)</f>
        <v>2970</v>
      </c>
      <c r="H938" s="117"/>
      <c r="I938" s="26"/>
      <c r="J938" s="180"/>
      <c r="M938" s="180"/>
    </row>
    <row r="939" spans="1:10" ht="30" customHeight="1">
      <c r="A939" s="319" t="s">
        <v>812</v>
      </c>
      <c r="B939" s="23"/>
      <c r="C939" s="24" t="s">
        <v>36</v>
      </c>
      <c r="D939" s="24" t="s">
        <v>1140</v>
      </c>
      <c r="E939" s="46" t="s">
        <v>811</v>
      </c>
      <c r="F939" s="25" t="s">
        <v>924</v>
      </c>
      <c r="G939" s="26">
        <v>2970</v>
      </c>
      <c r="H939" s="26"/>
      <c r="I939" s="26"/>
      <c r="J939">
        <f>SUM('[1]ведомствен.2012'!G993)</f>
        <v>2970</v>
      </c>
    </row>
    <row r="940" spans="1:9" s="118" customFormat="1" ht="18" customHeight="1">
      <c r="A940" s="35" t="s">
        <v>114</v>
      </c>
      <c r="B940" s="23"/>
      <c r="C940" s="24" t="s">
        <v>36</v>
      </c>
      <c r="D940" s="24" t="s">
        <v>1190</v>
      </c>
      <c r="E940" s="37"/>
      <c r="F940" s="28"/>
      <c r="G940" s="26">
        <f>SUM(G941+G944+G946)</f>
        <v>9899.8</v>
      </c>
      <c r="H940" s="117"/>
      <c r="I940" s="26"/>
    </row>
    <row r="941" spans="1:9" s="118" customFormat="1" ht="42.75" customHeight="1">
      <c r="A941" s="27" t="s">
        <v>1143</v>
      </c>
      <c r="B941" s="23"/>
      <c r="C941" s="24" t="s">
        <v>36</v>
      </c>
      <c r="D941" s="24" t="s">
        <v>1190</v>
      </c>
      <c r="E941" s="24" t="s">
        <v>1144</v>
      </c>
      <c r="F941" s="28"/>
      <c r="G941" s="26">
        <f>SUM(G942)</f>
        <v>3599.8</v>
      </c>
      <c r="H941" s="117"/>
      <c r="I941" s="26"/>
    </row>
    <row r="942" spans="1:9" s="118" customFormat="1" ht="18" customHeight="1">
      <c r="A942" s="27" t="s">
        <v>1151</v>
      </c>
      <c r="B942" s="23"/>
      <c r="C942" s="24" t="s">
        <v>36</v>
      </c>
      <c r="D942" s="24" t="s">
        <v>1190</v>
      </c>
      <c r="E942" s="24" t="s">
        <v>1153</v>
      </c>
      <c r="F942" s="28"/>
      <c r="G942" s="26">
        <f>SUM(G943)</f>
        <v>3599.8</v>
      </c>
      <c r="H942" s="117"/>
      <c r="I942" s="26"/>
    </row>
    <row r="943" spans="1:13" s="118" customFormat="1" ht="17.25" customHeight="1">
      <c r="A943" s="27" t="s">
        <v>1147</v>
      </c>
      <c r="B943" s="23"/>
      <c r="C943" s="24" t="s">
        <v>36</v>
      </c>
      <c r="D943" s="24" t="s">
        <v>1190</v>
      </c>
      <c r="E943" s="24" t="s">
        <v>1153</v>
      </c>
      <c r="F943" s="25" t="s">
        <v>1148</v>
      </c>
      <c r="G943" s="26">
        <v>3599.8</v>
      </c>
      <c r="H943" s="117"/>
      <c r="I943" s="26"/>
      <c r="J943">
        <f>SUM('[1]ведомствен.2012'!G997)</f>
        <v>3599.8</v>
      </c>
      <c r="M943" s="180" t="e">
        <f>SUM(#REF!)</f>
        <v>#REF!</v>
      </c>
    </row>
    <row r="944" spans="1:9" s="118" customFormat="1" ht="18" customHeight="1" hidden="1">
      <c r="A944" s="41" t="s">
        <v>638</v>
      </c>
      <c r="B944" s="23"/>
      <c r="C944" s="24" t="s">
        <v>36</v>
      </c>
      <c r="D944" s="24" t="s">
        <v>1190</v>
      </c>
      <c r="E944" s="37" t="s">
        <v>639</v>
      </c>
      <c r="F944" s="28"/>
      <c r="G944" s="26">
        <f>SUM(G945)</f>
        <v>0</v>
      </c>
      <c r="H944" s="117"/>
      <c r="I944" s="26"/>
    </row>
    <row r="945" spans="1:9" s="118" customFormat="1" ht="18" customHeight="1" hidden="1">
      <c r="A945" s="27" t="s">
        <v>1147</v>
      </c>
      <c r="B945" s="23"/>
      <c r="C945" s="24" t="s">
        <v>36</v>
      </c>
      <c r="D945" s="24" t="s">
        <v>1190</v>
      </c>
      <c r="E945" s="37" t="s">
        <v>639</v>
      </c>
      <c r="F945" s="28" t="s">
        <v>1148</v>
      </c>
      <c r="G945" s="26"/>
      <c r="H945" s="117"/>
      <c r="I945" s="26"/>
    </row>
    <row r="946" spans="1:10" ht="15">
      <c r="A946" s="268" t="s">
        <v>1186</v>
      </c>
      <c r="B946" s="36"/>
      <c r="C946" s="24" t="s">
        <v>36</v>
      </c>
      <c r="D946" s="24" t="s">
        <v>1190</v>
      </c>
      <c r="E946" s="37" t="s">
        <v>1187</v>
      </c>
      <c r="F946" s="28"/>
      <c r="G946" s="54">
        <f>SUM(G947)</f>
        <v>6300</v>
      </c>
      <c r="H946" s="26" t="e">
        <f>SUM(H949)+H953+H955</f>
        <v>#REF!</v>
      </c>
      <c r="I946" s="26" t="e">
        <f>SUM(H946/G946*100)</f>
        <v>#REF!</v>
      </c>
      <c r="J946"/>
    </row>
    <row r="947" spans="1:10" ht="29.25" customHeight="1">
      <c r="A947" s="35" t="s">
        <v>836</v>
      </c>
      <c r="B947" s="23"/>
      <c r="C947" s="24" t="s">
        <v>36</v>
      </c>
      <c r="D947" s="24" t="s">
        <v>1190</v>
      </c>
      <c r="E947" s="37" t="s">
        <v>469</v>
      </c>
      <c r="F947" s="103"/>
      <c r="G947" s="54">
        <f>SUM(G948)</f>
        <v>6300</v>
      </c>
      <c r="H947" s="54">
        <f>SUM(H948)</f>
        <v>1042.3</v>
      </c>
      <c r="I947" s="26">
        <f>SUM(H947/G947*100)</f>
        <v>16.544444444444444</v>
      </c>
      <c r="J947"/>
    </row>
    <row r="948" spans="1:13" ht="21" customHeight="1">
      <c r="A948" s="294" t="s">
        <v>198</v>
      </c>
      <c r="B948" s="23"/>
      <c r="C948" s="24" t="s">
        <v>36</v>
      </c>
      <c r="D948" s="24" t="s">
        <v>1190</v>
      </c>
      <c r="E948" s="37" t="s">
        <v>469</v>
      </c>
      <c r="F948" s="103" t="s">
        <v>199</v>
      </c>
      <c r="G948" s="54">
        <f>5000+1300</f>
        <v>6300</v>
      </c>
      <c r="H948" s="54">
        <v>1042.3</v>
      </c>
      <c r="I948" s="26">
        <f>SUM(H948/G948*100)</f>
        <v>16.544444444444444</v>
      </c>
      <c r="J948">
        <f>SUM('[1]ведомствен.2012'!G587)</f>
        <v>6300</v>
      </c>
      <c r="M948" t="e">
        <f>SUM(#REF!+#REF!)</f>
        <v>#REF!</v>
      </c>
    </row>
    <row r="949" spans="1:9" s="118" customFormat="1" ht="18" customHeight="1" hidden="1">
      <c r="A949" s="272"/>
      <c r="B949" s="114"/>
      <c r="C949" s="115"/>
      <c r="D949" s="115"/>
      <c r="E949" s="24"/>
      <c r="F949" s="116"/>
      <c r="G949" s="117"/>
      <c r="H949" s="117"/>
      <c r="I949" s="26"/>
    </row>
    <row r="950" spans="1:9" s="118" customFormat="1" ht="18" customHeight="1" hidden="1">
      <c r="A950" s="272"/>
      <c r="B950" s="114"/>
      <c r="C950" s="115"/>
      <c r="D950" s="115"/>
      <c r="E950" s="24"/>
      <c r="F950" s="116"/>
      <c r="G950" s="117"/>
      <c r="H950" s="117"/>
      <c r="I950" s="26"/>
    </row>
    <row r="951" spans="1:11" s="228" customFormat="1" ht="30" customHeight="1">
      <c r="A951" s="263" t="s">
        <v>653</v>
      </c>
      <c r="B951" s="42"/>
      <c r="C951" s="59" t="s">
        <v>111</v>
      </c>
      <c r="D951" s="59" t="s">
        <v>705</v>
      </c>
      <c r="E951" s="59"/>
      <c r="F951" s="60"/>
      <c r="G951" s="45">
        <f>SUM(G952)</f>
        <v>7957.6</v>
      </c>
      <c r="H951" s="227"/>
      <c r="I951" s="45"/>
      <c r="K951" s="335">
        <f>SUM(G951)</f>
        <v>7957.6</v>
      </c>
    </row>
    <row r="952" spans="1:13" s="118" customFormat="1" ht="33" customHeight="1">
      <c r="A952" s="99" t="s">
        <v>112</v>
      </c>
      <c r="B952" s="23"/>
      <c r="C952" s="84" t="s">
        <v>111</v>
      </c>
      <c r="D952" s="84" t="s">
        <v>1140</v>
      </c>
      <c r="E952" s="24"/>
      <c r="F952" s="25"/>
      <c r="G952" s="54">
        <f>SUM(G953)</f>
        <v>7957.6</v>
      </c>
      <c r="H952" s="117"/>
      <c r="I952" s="26"/>
      <c r="M952" s="118" t="e">
        <f>SUM(#REF!)</f>
        <v>#REF!</v>
      </c>
    </row>
    <row r="953" spans="1:9" s="118" customFormat="1" ht="18.75" customHeight="1">
      <c r="A953" s="27" t="s">
        <v>654</v>
      </c>
      <c r="B953" s="23"/>
      <c r="C953" s="84" t="s">
        <v>111</v>
      </c>
      <c r="D953" s="84" t="s">
        <v>1140</v>
      </c>
      <c r="E953" s="24" t="s">
        <v>655</v>
      </c>
      <c r="F953" s="29"/>
      <c r="G953" s="26">
        <f>SUM(G955)</f>
        <v>7957.6</v>
      </c>
      <c r="H953" s="54" t="e">
        <f>SUM(H954)</f>
        <v>#REF!</v>
      </c>
      <c r="I953" s="26" t="e">
        <f>SUM(H953/G953*100)</f>
        <v>#REF!</v>
      </c>
    </row>
    <row r="954" spans="1:9" s="118" customFormat="1" ht="18.75" customHeight="1">
      <c r="A954" s="27" t="s">
        <v>656</v>
      </c>
      <c r="B954" s="23"/>
      <c r="C954" s="84" t="s">
        <v>111</v>
      </c>
      <c r="D954" s="84" t="s">
        <v>1140</v>
      </c>
      <c r="E954" s="24" t="s">
        <v>657</v>
      </c>
      <c r="F954" s="29"/>
      <c r="G954" s="26">
        <f>SUM(G955)</f>
        <v>7957.6</v>
      </c>
      <c r="H954" s="54" t="e">
        <f>SUM(H955)</f>
        <v>#REF!</v>
      </c>
      <c r="I954" s="26" t="e">
        <f>SUM(H954/G954*100)</f>
        <v>#REF!</v>
      </c>
    </row>
    <row r="955" spans="1:13" s="118" customFormat="1" ht="20.25" customHeight="1" thickBot="1">
      <c r="A955" s="27" t="s">
        <v>658</v>
      </c>
      <c r="B955" s="23"/>
      <c r="C955" s="84" t="s">
        <v>111</v>
      </c>
      <c r="D955" s="84" t="s">
        <v>1140</v>
      </c>
      <c r="E955" s="24" t="s">
        <v>657</v>
      </c>
      <c r="F955" s="29" t="s">
        <v>659</v>
      </c>
      <c r="G955" s="26">
        <f>10168.5-2210.9</f>
        <v>7957.6</v>
      </c>
      <c r="H955" s="54" t="e">
        <f>SUM(#REF!)</f>
        <v>#REF!</v>
      </c>
      <c r="I955" s="26" t="e">
        <f>SUM(H955/G955*100)</f>
        <v>#REF!</v>
      </c>
      <c r="J955" s="186">
        <f>SUM('[1]ведомствен.2012'!G623)</f>
        <v>7957.6</v>
      </c>
      <c r="M955" s="186" t="e">
        <f>SUM(#REF!)</f>
        <v>#REF!</v>
      </c>
    </row>
    <row r="956" spans="1:13" s="97" customFormat="1" ht="21.75" customHeight="1" thickBot="1">
      <c r="A956" s="273" t="s">
        <v>349</v>
      </c>
      <c r="B956" s="119"/>
      <c r="C956" s="120"/>
      <c r="D956" s="120"/>
      <c r="E956" s="120"/>
      <c r="F956" s="121"/>
      <c r="G956" s="122">
        <f>SUM(G13+G137+G191+G231+G385+G426+G619+G672+G772)+G951+G932</f>
        <v>2757566.1999999997</v>
      </c>
      <c r="H956" s="122" t="e">
        <f>SUM(H13+H137+H191+H231+H385+H426+H619+H672+H772)</f>
        <v>#REF!</v>
      </c>
      <c r="I956" s="123" t="e">
        <f>SUM(H956/G956*100)</f>
        <v>#REF!</v>
      </c>
      <c r="J956" s="183">
        <f>SUM(J13:J955)</f>
        <v>2757566.2000000016</v>
      </c>
      <c r="M956" s="183" t="e">
        <f>SUM(M13:M955)</f>
        <v>#REF!</v>
      </c>
    </row>
    <row r="957" spans="1:9" ht="28.5" customHeight="1" hidden="1">
      <c r="A957" s="124" t="s">
        <v>350</v>
      </c>
      <c r="B957" s="125"/>
      <c r="C957" s="126"/>
      <c r="D957" s="125"/>
      <c r="E957" s="125"/>
      <c r="F957" s="127"/>
      <c r="G957" s="128">
        <f>-76000-174.5-350</f>
        <v>-76524.5</v>
      </c>
      <c r="H957" s="128">
        <f>-76000-174.5-350</f>
        <v>-76524.5</v>
      </c>
      <c r="I957" s="128">
        <f>-76000-174.5-350</f>
        <v>-76524.5</v>
      </c>
    </row>
    <row r="958" spans="1:9" ht="15" customHeight="1" hidden="1">
      <c r="A958" s="274" t="s">
        <v>351</v>
      </c>
      <c r="B958" s="129"/>
      <c r="C958" s="130"/>
      <c r="D958" s="129"/>
      <c r="E958" s="129"/>
      <c r="F958" s="131"/>
      <c r="G958" s="132"/>
      <c r="H958" s="132"/>
      <c r="I958" s="132"/>
    </row>
    <row r="959" spans="1:9" ht="17.25" customHeight="1" hidden="1">
      <c r="A959" s="124" t="s">
        <v>351</v>
      </c>
      <c r="B959" s="126" t="s">
        <v>352</v>
      </c>
      <c r="C959" s="126" t="s">
        <v>705</v>
      </c>
      <c r="D959" s="126" t="s">
        <v>705</v>
      </c>
      <c r="E959" s="126" t="s">
        <v>353</v>
      </c>
      <c r="F959" s="133" t="s">
        <v>352</v>
      </c>
      <c r="G959" s="134"/>
      <c r="H959" s="134"/>
      <c r="I959" s="134"/>
    </row>
    <row r="960" spans="1:9" ht="30" customHeight="1" hidden="1">
      <c r="A960" s="275" t="s">
        <v>354</v>
      </c>
      <c r="B960" s="135" t="s">
        <v>352</v>
      </c>
      <c r="C960" s="135" t="s">
        <v>1140</v>
      </c>
      <c r="D960" s="135" t="s">
        <v>1150</v>
      </c>
      <c r="E960" s="135" t="s">
        <v>353</v>
      </c>
      <c r="F960" s="136"/>
      <c r="G960" s="137">
        <v>0</v>
      </c>
      <c r="H960" s="137">
        <v>0</v>
      </c>
      <c r="I960" s="137">
        <v>0</v>
      </c>
    </row>
    <row r="961" spans="1:9" ht="42" customHeight="1" hidden="1">
      <c r="A961" s="27" t="s">
        <v>355</v>
      </c>
      <c r="B961" s="138" t="s">
        <v>352</v>
      </c>
      <c r="C961" s="138" t="s">
        <v>1140</v>
      </c>
      <c r="D961" s="138" t="s">
        <v>1150</v>
      </c>
      <c r="E961" s="138" t="s">
        <v>356</v>
      </c>
      <c r="F961" s="139" t="s">
        <v>357</v>
      </c>
      <c r="G961" s="137">
        <v>62000</v>
      </c>
      <c r="H961" s="137">
        <v>62000</v>
      </c>
      <c r="I961" s="137">
        <v>62000</v>
      </c>
    </row>
    <row r="962" spans="1:9" ht="30.75" customHeight="1" hidden="1">
      <c r="A962" s="276" t="s">
        <v>358</v>
      </c>
      <c r="B962" s="138" t="s">
        <v>352</v>
      </c>
      <c r="C962" s="138" t="s">
        <v>1140</v>
      </c>
      <c r="D962" s="138" t="s">
        <v>1150</v>
      </c>
      <c r="E962" s="138" t="s">
        <v>356</v>
      </c>
      <c r="F962" s="139" t="s">
        <v>359</v>
      </c>
      <c r="G962" s="140">
        <v>62000</v>
      </c>
      <c r="H962" s="140">
        <v>62000</v>
      </c>
      <c r="I962" s="140">
        <v>62000</v>
      </c>
    </row>
    <row r="963" spans="1:9" ht="29.25" customHeight="1" hidden="1">
      <c r="A963" s="35" t="s">
        <v>360</v>
      </c>
      <c r="B963" s="138" t="s">
        <v>352</v>
      </c>
      <c r="C963" s="138" t="s">
        <v>642</v>
      </c>
      <c r="D963" s="138" t="s">
        <v>705</v>
      </c>
      <c r="E963" s="138" t="s">
        <v>353</v>
      </c>
      <c r="F963" s="139" t="s">
        <v>352</v>
      </c>
      <c r="G963" s="141"/>
      <c r="H963" s="141"/>
      <c r="I963" s="141"/>
    </row>
    <row r="964" spans="1:9" ht="18" customHeight="1" hidden="1">
      <c r="A964" s="277" t="s">
        <v>361</v>
      </c>
      <c r="B964" s="142" t="s">
        <v>352</v>
      </c>
      <c r="C964" s="142" t="s">
        <v>1140</v>
      </c>
      <c r="D964" s="142" t="s">
        <v>1190</v>
      </c>
      <c r="E964" s="142" t="s">
        <v>362</v>
      </c>
      <c r="F964" s="143" t="s">
        <v>352</v>
      </c>
      <c r="G964" s="144">
        <f>67475+1681.5+1571.6</f>
        <v>70728.1</v>
      </c>
      <c r="H964" s="144">
        <f>67475+1681.5+1571.6</f>
        <v>70728.1</v>
      </c>
      <c r="I964" s="144">
        <f>67475+1681.5+1571.6</f>
        <v>70728.1</v>
      </c>
    </row>
    <row r="965" spans="1:9" ht="28.5" customHeight="1" hidden="1">
      <c r="A965" s="99" t="s">
        <v>363</v>
      </c>
      <c r="B965" s="138" t="s">
        <v>352</v>
      </c>
      <c r="C965" s="142" t="s">
        <v>1140</v>
      </c>
      <c r="D965" s="142" t="s">
        <v>642</v>
      </c>
      <c r="E965" s="142" t="s">
        <v>353</v>
      </c>
      <c r="F965" s="143" t="s">
        <v>352</v>
      </c>
      <c r="G965" s="54">
        <f>SUM(G966-G967)</f>
        <v>0</v>
      </c>
      <c r="H965" s="54">
        <f>SUM(H966-H967)</f>
        <v>0</v>
      </c>
      <c r="I965" s="54">
        <f>SUM(I966-I967)</f>
        <v>0</v>
      </c>
    </row>
    <row r="966" spans="1:9" ht="85.5" customHeight="1" hidden="1">
      <c r="A966" s="278" t="s">
        <v>170</v>
      </c>
      <c r="B966" s="138"/>
      <c r="C966" s="142" t="s">
        <v>1140</v>
      </c>
      <c r="D966" s="142" t="s">
        <v>642</v>
      </c>
      <c r="E966" s="145" t="s">
        <v>171</v>
      </c>
      <c r="F966" s="146">
        <v>810</v>
      </c>
      <c r="G966" s="54">
        <v>10000</v>
      </c>
      <c r="H966" s="54">
        <v>10000</v>
      </c>
      <c r="I966" s="54">
        <v>10000</v>
      </c>
    </row>
    <row r="967" spans="1:9" ht="45" customHeight="1" hidden="1">
      <c r="A967" s="279" t="s">
        <v>172</v>
      </c>
      <c r="B967" s="147"/>
      <c r="C967" s="147" t="s">
        <v>1140</v>
      </c>
      <c r="D967" s="147" t="s">
        <v>642</v>
      </c>
      <c r="E967" s="148" t="s">
        <v>173</v>
      </c>
      <c r="F967" s="149">
        <v>640</v>
      </c>
      <c r="G967" s="150">
        <v>10000</v>
      </c>
      <c r="H967" s="150">
        <v>10000</v>
      </c>
      <c r="I967" s="150">
        <v>10000</v>
      </c>
    </row>
    <row r="968" ht="12.75">
      <c r="G968" s="310"/>
    </row>
    <row r="969" ht="12.75">
      <c r="G969" s="311"/>
    </row>
  </sheetData>
  <mergeCells count="1">
    <mergeCell ref="F5:G5"/>
  </mergeCells>
  <printOptions/>
  <pageMargins left="1.1023622047244095" right="0.15748031496062992" top="0.15748031496062992" bottom="0.03937007874015748" header="0.5118110236220472" footer="0.2362204724409449"/>
  <pageSetup fitToHeight="15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57"/>
  <sheetViews>
    <sheetView workbookViewId="0" topLeftCell="A1">
      <pane xSplit="1" ySplit="10" topLeftCell="B133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5" sqref="F5:G5"/>
    </sheetView>
  </sheetViews>
  <sheetFormatPr defaultColWidth="9.00390625" defaultRowHeight="12.75"/>
  <cols>
    <col min="1" max="1" width="75.375" style="288" customWidth="1"/>
    <col min="2" max="2" width="6.875" style="1" customWidth="1"/>
    <col min="3" max="3" width="7.75390625" style="0" customWidth="1"/>
    <col min="4" max="4" width="6.875" style="0" customWidth="1"/>
    <col min="5" max="5" width="12.75390625" style="0" customWidth="1"/>
    <col min="6" max="6" width="10.125" style="0" customWidth="1"/>
    <col min="7" max="7" width="17.125" style="5" customWidth="1"/>
    <col min="8" max="8" width="36.25390625" style="5" hidden="1" customWidth="1"/>
    <col min="9" max="9" width="5.625" style="5" hidden="1" customWidth="1"/>
    <col min="10" max="10" width="6.375" style="0" customWidth="1"/>
    <col min="11" max="11" width="5.375" style="0" customWidth="1"/>
    <col min="12" max="12" width="5.875" style="0" customWidth="1"/>
    <col min="13" max="13" width="6.125" style="0" customWidth="1"/>
  </cols>
  <sheetData>
    <row r="1" spans="6:9" ht="12.75">
      <c r="F1" s="2" t="s">
        <v>389</v>
      </c>
      <c r="G1" s="179"/>
      <c r="I1" s="3"/>
    </row>
    <row r="2" spans="1:9" ht="12.75">
      <c r="A2" s="288" t="s">
        <v>174</v>
      </c>
      <c r="F2" s="4" t="s">
        <v>883</v>
      </c>
      <c r="G2" s="179"/>
      <c r="I2" s="3"/>
    </row>
    <row r="3" spans="6:9" ht="12.75">
      <c r="F3" s="4" t="s">
        <v>884</v>
      </c>
      <c r="G3" s="179"/>
      <c r="I3" s="3"/>
    </row>
    <row r="4" spans="6:9" ht="12.75">
      <c r="F4" s="4" t="s">
        <v>885</v>
      </c>
      <c r="G4" s="179"/>
      <c r="I4" s="3"/>
    </row>
    <row r="5" spans="2:7" ht="12.75" customHeight="1">
      <c r="B5" s="6" t="s">
        <v>175</v>
      </c>
      <c r="F5" s="368" t="s">
        <v>241</v>
      </c>
      <c r="G5" s="369"/>
    </row>
    <row r="6" ht="12.75">
      <c r="B6" s="6" t="s">
        <v>176</v>
      </c>
    </row>
    <row r="7" ht="12.75">
      <c r="B7" s="6" t="s">
        <v>1061</v>
      </c>
    </row>
    <row r="8" ht="24" customHeight="1" thickBot="1">
      <c r="B8" s="9"/>
    </row>
    <row r="9" spans="1:9" ht="14.25">
      <c r="A9" s="282" t="s">
        <v>177</v>
      </c>
      <c r="B9" s="151" t="s">
        <v>890</v>
      </c>
      <c r="C9" s="152"/>
      <c r="D9" s="153"/>
      <c r="E9" s="153"/>
      <c r="F9" s="153"/>
      <c r="G9" s="13" t="s">
        <v>891</v>
      </c>
      <c r="H9" s="13" t="s">
        <v>892</v>
      </c>
      <c r="I9" s="13" t="s">
        <v>893</v>
      </c>
    </row>
    <row r="10" spans="1:9" ht="24.75" customHeight="1" thickBot="1">
      <c r="A10" s="283"/>
      <c r="B10" s="154" t="s">
        <v>894</v>
      </c>
      <c r="C10" s="155" t="s">
        <v>895</v>
      </c>
      <c r="D10" s="155" t="s">
        <v>896</v>
      </c>
      <c r="E10" s="155" t="s">
        <v>897</v>
      </c>
      <c r="F10" s="156" t="s">
        <v>1136</v>
      </c>
      <c r="G10" s="17" t="s">
        <v>491</v>
      </c>
      <c r="H10" s="17" t="s">
        <v>1137</v>
      </c>
      <c r="I10" s="17" t="s">
        <v>1138</v>
      </c>
    </row>
    <row r="11" spans="1:9" ht="15.75">
      <c r="A11" s="284" t="s">
        <v>712</v>
      </c>
      <c r="B11" s="157" t="s">
        <v>713</v>
      </c>
      <c r="C11" s="158"/>
      <c r="D11" s="158"/>
      <c r="E11" s="158"/>
      <c r="F11" s="152"/>
      <c r="G11" s="159">
        <f>SUM(G12)+G27+G32</f>
        <v>19635.6</v>
      </c>
      <c r="H11" s="159">
        <f>SUM(H12)+H27+H32</f>
        <v>9763.699999999999</v>
      </c>
      <c r="I11" s="159">
        <f aca="true" t="shared" si="0" ref="I11:I44">SUM(H11/G11*100)</f>
        <v>49.724480026075085</v>
      </c>
    </row>
    <row r="12" spans="1:9" ht="15">
      <c r="A12" s="285" t="s">
        <v>1139</v>
      </c>
      <c r="B12" s="23"/>
      <c r="C12" s="24" t="s">
        <v>1140</v>
      </c>
      <c r="D12" s="24"/>
      <c r="E12" s="24"/>
      <c r="F12" s="25"/>
      <c r="G12" s="26">
        <f>SUM(G13+G17+G23)</f>
        <v>19635.6</v>
      </c>
      <c r="H12" s="26">
        <f>SUM(H13+H17+H23)</f>
        <v>9401.9</v>
      </c>
      <c r="I12" s="26">
        <f t="shared" si="0"/>
        <v>47.88190837051071</v>
      </c>
    </row>
    <row r="13" spans="1:9" ht="28.5">
      <c r="A13" s="285" t="s">
        <v>1141</v>
      </c>
      <c r="B13" s="23"/>
      <c r="C13" s="24" t="s">
        <v>1140</v>
      </c>
      <c r="D13" s="24" t="s">
        <v>1142</v>
      </c>
      <c r="E13" s="24"/>
      <c r="F13" s="25"/>
      <c r="G13" s="26">
        <f>SUM(G14)</f>
        <v>1615.2</v>
      </c>
      <c r="H13" s="26">
        <f>SUM(H14)</f>
        <v>983.5</v>
      </c>
      <c r="I13" s="26">
        <f t="shared" si="0"/>
        <v>60.890292223873196</v>
      </c>
    </row>
    <row r="14" spans="1:9" ht="41.25" customHeight="1">
      <c r="A14" s="285" t="s">
        <v>1143</v>
      </c>
      <c r="B14" s="23"/>
      <c r="C14" s="24" t="s">
        <v>1140</v>
      </c>
      <c r="D14" s="24" t="s">
        <v>1142</v>
      </c>
      <c r="E14" s="24" t="s">
        <v>1144</v>
      </c>
      <c r="F14" s="25"/>
      <c r="G14" s="26">
        <f>SUM(G16:G16)</f>
        <v>1615.2</v>
      </c>
      <c r="H14" s="26">
        <f>SUM(H16:H16)</f>
        <v>983.5</v>
      </c>
      <c r="I14" s="26">
        <f t="shared" si="0"/>
        <v>60.890292223873196</v>
      </c>
    </row>
    <row r="15" spans="1:9" ht="20.25" customHeight="1">
      <c r="A15" s="285" t="s">
        <v>1145</v>
      </c>
      <c r="B15" s="23"/>
      <c r="C15" s="24" t="s">
        <v>1140</v>
      </c>
      <c r="D15" s="24" t="s">
        <v>1142</v>
      </c>
      <c r="E15" s="24" t="s">
        <v>1146</v>
      </c>
      <c r="F15" s="25"/>
      <c r="G15" s="26">
        <f>SUM(G16)</f>
        <v>1615.2</v>
      </c>
      <c r="H15" s="26">
        <f>SUM(H16)</f>
        <v>983.5</v>
      </c>
      <c r="I15" s="26">
        <f t="shared" si="0"/>
        <v>60.890292223873196</v>
      </c>
    </row>
    <row r="16" spans="1:9" ht="29.25" customHeight="1">
      <c r="A16" s="285" t="s">
        <v>1147</v>
      </c>
      <c r="B16" s="23"/>
      <c r="C16" s="24" t="s">
        <v>1140</v>
      </c>
      <c r="D16" s="24" t="s">
        <v>1142</v>
      </c>
      <c r="E16" s="24" t="s">
        <v>1146</v>
      </c>
      <c r="F16" s="25" t="s">
        <v>1148</v>
      </c>
      <c r="G16" s="26">
        <f>1493.1+134.4-12.3</f>
        <v>1615.2</v>
      </c>
      <c r="H16" s="26">
        <v>983.5</v>
      </c>
      <c r="I16" s="26">
        <f t="shared" si="0"/>
        <v>60.890292223873196</v>
      </c>
    </row>
    <row r="17" spans="1:9" ht="52.5" customHeight="1">
      <c r="A17" s="285" t="s">
        <v>1149</v>
      </c>
      <c r="B17" s="23"/>
      <c r="C17" s="24" t="s">
        <v>1140</v>
      </c>
      <c r="D17" s="24" t="s">
        <v>1150</v>
      </c>
      <c r="E17" s="24"/>
      <c r="F17" s="25"/>
      <c r="G17" s="26">
        <f>SUM(G18)</f>
        <v>17346.899999999998</v>
      </c>
      <c r="H17" s="26">
        <f>SUM(H18)</f>
        <v>8231.8</v>
      </c>
      <c r="I17" s="26">
        <f t="shared" si="0"/>
        <v>47.454011956026726</v>
      </c>
    </row>
    <row r="18" spans="1:9" ht="42.75" customHeight="1">
      <c r="A18" s="285" t="s">
        <v>1143</v>
      </c>
      <c r="B18" s="23"/>
      <c r="C18" s="24" t="s">
        <v>1140</v>
      </c>
      <c r="D18" s="24" t="s">
        <v>1150</v>
      </c>
      <c r="E18" s="24" t="s">
        <v>1144</v>
      </c>
      <c r="F18" s="28"/>
      <c r="G18" s="26">
        <f>SUM(G19+G21)</f>
        <v>17346.899999999998</v>
      </c>
      <c r="H18" s="26">
        <f>SUM(H19+H21)</f>
        <v>8231.8</v>
      </c>
      <c r="I18" s="26">
        <f t="shared" si="0"/>
        <v>47.454011956026726</v>
      </c>
    </row>
    <row r="19" spans="1:9" ht="15">
      <c r="A19" s="285" t="s">
        <v>1151</v>
      </c>
      <c r="B19" s="23"/>
      <c r="C19" s="24" t="s">
        <v>1152</v>
      </c>
      <c r="D19" s="24" t="s">
        <v>1150</v>
      </c>
      <c r="E19" s="24" t="s">
        <v>1153</v>
      </c>
      <c r="F19" s="28"/>
      <c r="G19" s="26">
        <f>SUM(G20)</f>
        <v>17346.899999999998</v>
      </c>
      <c r="H19" s="26">
        <f>SUM(H20)</f>
        <v>8068.7</v>
      </c>
      <c r="I19" s="26">
        <f t="shared" si="0"/>
        <v>46.513786324934145</v>
      </c>
    </row>
    <row r="20" spans="1:9" ht="27.75" customHeight="1">
      <c r="A20" s="285" t="s">
        <v>1147</v>
      </c>
      <c r="B20" s="23"/>
      <c r="C20" s="24" t="s">
        <v>1140</v>
      </c>
      <c r="D20" s="24" t="s">
        <v>1150</v>
      </c>
      <c r="E20" s="24" t="s">
        <v>1153</v>
      </c>
      <c r="F20" s="25" t="s">
        <v>1148</v>
      </c>
      <c r="G20" s="26">
        <f>16832.3+514.6</f>
        <v>17346.899999999998</v>
      </c>
      <c r="H20" s="26">
        <v>8068.7</v>
      </c>
      <c r="I20" s="26">
        <f t="shared" si="0"/>
        <v>46.513786324934145</v>
      </c>
    </row>
    <row r="21" spans="1:9" ht="28.5" customHeight="1" hidden="1">
      <c r="A21" s="285" t="s">
        <v>1154</v>
      </c>
      <c r="B21" s="23"/>
      <c r="C21" s="24" t="s">
        <v>1152</v>
      </c>
      <c r="D21" s="24" t="s">
        <v>1150</v>
      </c>
      <c r="E21" s="24" t="s">
        <v>1155</v>
      </c>
      <c r="F21" s="25"/>
      <c r="G21" s="26">
        <f>SUM(G22)</f>
        <v>0</v>
      </c>
      <c r="H21" s="26">
        <f>SUM(H22)</f>
        <v>163.1</v>
      </c>
      <c r="I21" s="26" t="e">
        <f t="shared" si="0"/>
        <v>#DIV/0!</v>
      </c>
    </row>
    <row r="22" spans="1:9" ht="29.25" customHeight="1" hidden="1">
      <c r="A22" s="285" t="s">
        <v>1147</v>
      </c>
      <c r="B22" s="23"/>
      <c r="C22" s="24" t="s">
        <v>1152</v>
      </c>
      <c r="D22" s="24" t="s">
        <v>1150</v>
      </c>
      <c r="E22" s="24" t="s">
        <v>1155</v>
      </c>
      <c r="F22" s="25" t="s">
        <v>1148</v>
      </c>
      <c r="G22" s="26"/>
      <c r="H22" s="26">
        <v>163.1</v>
      </c>
      <c r="I22" s="26" t="e">
        <f t="shared" si="0"/>
        <v>#DIV/0!</v>
      </c>
    </row>
    <row r="23" spans="1:9" ht="15">
      <c r="A23" s="285" t="s">
        <v>1156</v>
      </c>
      <c r="B23" s="23"/>
      <c r="C23" s="24" t="s">
        <v>1140</v>
      </c>
      <c r="D23" s="24" t="s">
        <v>111</v>
      </c>
      <c r="E23" s="24"/>
      <c r="F23" s="28"/>
      <c r="G23" s="26">
        <f>SUM(G24)</f>
        <v>673.5</v>
      </c>
      <c r="H23" s="26">
        <f>SUM(H24)</f>
        <v>186.6</v>
      </c>
      <c r="I23" s="26">
        <f t="shared" si="0"/>
        <v>27.70601336302895</v>
      </c>
    </row>
    <row r="24" spans="1:9" ht="28.5">
      <c r="A24" s="287" t="s">
        <v>1158</v>
      </c>
      <c r="B24" s="23"/>
      <c r="C24" s="24" t="s">
        <v>1140</v>
      </c>
      <c r="D24" s="24" t="s">
        <v>111</v>
      </c>
      <c r="E24" s="24" t="s">
        <v>1159</v>
      </c>
      <c r="F24" s="29"/>
      <c r="G24" s="26">
        <f>SUM(G26)</f>
        <v>673.5</v>
      </c>
      <c r="H24" s="26">
        <f>SUM(H26)</f>
        <v>186.6</v>
      </c>
      <c r="I24" s="26">
        <f t="shared" si="0"/>
        <v>27.70601336302895</v>
      </c>
    </row>
    <row r="25" spans="1:9" ht="15">
      <c r="A25" s="287" t="s">
        <v>1160</v>
      </c>
      <c r="B25" s="23"/>
      <c r="C25" s="24" t="s">
        <v>1140</v>
      </c>
      <c r="D25" s="24" t="s">
        <v>111</v>
      </c>
      <c r="E25" s="24" t="s">
        <v>145</v>
      </c>
      <c r="F25" s="29"/>
      <c r="G25" s="26">
        <f>SUM(G26)</f>
        <v>673.5</v>
      </c>
      <c r="H25" s="26">
        <f>SUM(H26)</f>
        <v>186.6</v>
      </c>
      <c r="I25" s="26">
        <f t="shared" si="0"/>
        <v>27.70601336302895</v>
      </c>
    </row>
    <row r="26" spans="1:9" ht="27" customHeight="1">
      <c r="A26" s="285" t="s">
        <v>1147</v>
      </c>
      <c r="B26" s="23"/>
      <c r="C26" s="24" t="s">
        <v>1140</v>
      </c>
      <c r="D26" s="24" t="s">
        <v>111</v>
      </c>
      <c r="E26" s="24" t="s">
        <v>145</v>
      </c>
      <c r="F26" s="29" t="s">
        <v>1148</v>
      </c>
      <c r="G26" s="26">
        <v>673.5</v>
      </c>
      <c r="H26" s="26">
        <v>186.6</v>
      </c>
      <c r="I26" s="26">
        <f t="shared" si="0"/>
        <v>27.70601336302895</v>
      </c>
    </row>
    <row r="27" spans="1:9" ht="15" hidden="1">
      <c r="A27" s="285" t="s">
        <v>1162</v>
      </c>
      <c r="B27" s="23"/>
      <c r="C27" s="37" t="s">
        <v>1163</v>
      </c>
      <c r="D27" s="24"/>
      <c r="E27" s="24"/>
      <c r="F27" s="29"/>
      <c r="G27" s="26">
        <f aca="true" t="shared" si="1" ref="G27:H30">SUM(G28)</f>
        <v>0</v>
      </c>
      <c r="H27" s="26">
        <f t="shared" si="1"/>
        <v>0</v>
      </c>
      <c r="I27" s="26" t="e">
        <f t="shared" si="0"/>
        <v>#DIV/0!</v>
      </c>
    </row>
    <row r="28" spans="1:9" ht="15" hidden="1">
      <c r="A28" s="285" t="s">
        <v>1164</v>
      </c>
      <c r="B28" s="30"/>
      <c r="C28" s="24" t="s">
        <v>1163</v>
      </c>
      <c r="D28" s="24" t="s">
        <v>1163</v>
      </c>
      <c r="E28" s="24"/>
      <c r="F28" s="29"/>
      <c r="G28" s="26">
        <f t="shared" si="1"/>
        <v>0</v>
      </c>
      <c r="H28" s="26">
        <f t="shared" si="1"/>
        <v>0</v>
      </c>
      <c r="I28" s="26" t="e">
        <f t="shared" si="0"/>
        <v>#DIV/0!</v>
      </c>
    </row>
    <row r="29" spans="1:9" ht="15" hidden="1">
      <c r="A29" s="287" t="s">
        <v>84</v>
      </c>
      <c r="B29" s="30"/>
      <c r="C29" s="24" t="s">
        <v>1163</v>
      </c>
      <c r="D29" s="24" t="s">
        <v>1163</v>
      </c>
      <c r="E29" s="24" t="s">
        <v>1166</v>
      </c>
      <c r="F29" s="25"/>
      <c r="G29" s="26">
        <f t="shared" si="1"/>
        <v>0</v>
      </c>
      <c r="H29" s="26">
        <f t="shared" si="1"/>
        <v>0</v>
      </c>
      <c r="I29" s="26" t="e">
        <f t="shared" si="0"/>
        <v>#DIV/0!</v>
      </c>
    </row>
    <row r="30" spans="1:9" ht="19.5" customHeight="1" hidden="1">
      <c r="A30" s="287" t="s">
        <v>85</v>
      </c>
      <c r="B30" s="30"/>
      <c r="C30" s="24" t="s">
        <v>1163</v>
      </c>
      <c r="D30" s="24" t="s">
        <v>1163</v>
      </c>
      <c r="E30" s="24" t="s">
        <v>86</v>
      </c>
      <c r="F30" s="25"/>
      <c r="G30" s="26">
        <f t="shared" si="1"/>
        <v>0</v>
      </c>
      <c r="H30" s="26">
        <f t="shared" si="1"/>
        <v>0</v>
      </c>
      <c r="I30" s="26" t="e">
        <f t="shared" si="0"/>
        <v>#DIV/0!</v>
      </c>
    </row>
    <row r="31" spans="1:9" ht="18" customHeight="1" hidden="1">
      <c r="A31" s="297" t="s">
        <v>141</v>
      </c>
      <c r="B31" s="30"/>
      <c r="C31" s="24" t="s">
        <v>1163</v>
      </c>
      <c r="D31" s="24" t="s">
        <v>1163</v>
      </c>
      <c r="E31" s="24" t="s">
        <v>86</v>
      </c>
      <c r="F31" s="25" t="s">
        <v>142</v>
      </c>
      <c r="G31" s="26"/>
      <c r="H31" s="26"/>
      <c r="I31" s="26" t="e">
        <f t="shared" si="0"/>
        <v>#DIV/0!</v>
      </c>
    </row>
    <row r="32" spans="1:9" ht="18" customHeight="1" hidden="1">
      <c r="A32" s="285" t="s">
        <v>704</v>
      </c>
      <c r="B32" s="23"/>
      <c r="C32" s="24" t="s">
        <v>998</v>
      </c>
      <c r="D32" s="24"/>
      <c r="E32" s="24"/>
      <c r="F32" s="25"/>
      <c r="G32" s="26">
        <f>SUM(G36)</f>
        <v>0</v>
      </c>
      <c r="H32" s="26">
        <f>SUM(H36)</f>
        <v>361.8</v>
      </c>
      <c r="I32" s="26" t="e">
        <f t="shared" si="0"/>
        <v>#DIV/0!</v>
      </c>
    </row>
    <row r="33" spans="1:9" ht="18" customHeight="1" hidden="1">
      <c r="A33" s="287" t="s">
        <v>1027</v>
      </c>
      <c r="B33" s="23"/>
      <c r="C33" s="24" t="s">
        <v>998</v>
      </c>
      <c r="D33" s="37" t="s">
        <v>1150</v>
      </c>
      <c r="E33" s="24"/>
      <c r="F33" s="25"/>
      <c r="G33" s="26">
        <f aca="true" t="shared" si="2" ref="G33:H35">SUM(G34)</f>
        <v>0</v>
      </c>
      <c r="H33" s="26">
        <f t="shared" si="2"/>
        <v>361.8</v>
      </c>
      <c r="I33" s="26" t="e">
        <f t="shared" si="0"/>
        <v>#DIV/0!</v>
      </c>
    </row>
    <row r="34" spans="1:9" ht="24" customHeight="1" hidden="1">
      <c r="A34" s="285" t="s">
        <v>1028</v>
      </c>
      <c r="B34" s="23"/>
      <c r="C34" s="24" t="s">
        <v>998</v>
      </c>
      <c r="D34" s="37" t="s">
        <v>1150</v>
      </c>
      <c r="E34" s="24" t="s">
        <v>1029</v>
      </c>
      <c r="F34" s="25"/>
      <c r="G34" s="26">
        <f t="shared" si="2"/>
        <v>0</v>
      </c>
      <c r="H34" s="26">
        <f t="shared" si="2"/>
        <v>361.8</v>
      </c>
      <c r="I34" s="26" t="e">
        <f t="shared" si="0"/>
        <v>#DIV/0!</v>
      </c>
    </row>
    <row r="35" spans="1:9" ht="44.25" customHeight="1" hidden="1">
      <c r="A35" s="297" t="s">
        <v>1036</v>
      </c>
      <c r="B35" s="30"/>
      <c r="C35" s="24" t="s">
        <v>998</v>
      </c>
      <c r="D35" s="37" t="s">
        <v>1150</v>
      </c>
      <c r="E35" s="24" t="s">
        <v>1037</v>
      </c>
      <c r="F35" s="25"/>
      <c r="G35" s="26">
        <f t="shared" si="2"/>
        <v>0</v>
      </c>
      <c r="H35" s="26">
        <f t="shared" si="2"/>
        <v>361.8</v>
      </c>
      <c r="I35" s="26" t="e">
        <f t="shared" si="0"/>
        <v>#DIV/0!</v>
      </c>
    </row>
    <row r="36" spans="1:9" ht="18" customHeight="1" hidden="1">
      <c r="A36" s="285" t="s">
        <v>960</v>
      </c>
      <c r="B36" s="91"/>
      <c r="C36" s="37" t="s">
        <v>998</v>
      </c>
      <c r="D36" s="37" t="s">
        <v>1150</v>
      </c>
      <c r="E36" s="24" t="s">
        <v>1037</v>
      </c>
      <c r="F36" s="103" t="s">
        <v>961</v>
      </c>
      <c r="G36" s="26"/>
      <c r="H36" s="26">
        <v>361.8</v>
      </c>
      <c r="I36" s="26" t="e">
        <f t="shared" si="0"/>
        <v>#DIV/0!</v>
      </c>
    </row>
    <row r="37" spans="1:9" ht="30" customHeight="1">
      <c r="A37" s="290" t="s">
        <v>714</v>
      </c>
      <c r="B37" s="160" t="s">
        <v>715</v>
      </c>
      <c r="C37" s="37"/>
      <c r="D37" s="37"/>
      <c r="E37" s="37"/>
      <c r="F37" s="28"/>
      <c r="G37" s="161">
        <f aca="true" t="shared" si="3" ref="G37:H39">SUM(G38)</f>
        <v>5289.200000000001</v>
      </c>
      <c r="H37" s="161">
        <f t="shared" si="3"/>
        <v>2707.1</v>
      </c>
      <c r="I37" s="45">
        <f t="shared" si="0"/>
        <v>51.181653180065034</v>
      </c>
    </row>
    <row r="38" spans="1:9" ht="15">
      <c r="A38" s="285" t="s">
        <v>1139</v>
      </c>
      <c r="B38" s="23"/>
      <c r="C38" s="24" t="s">
        <v>1140</v>
      </c>
      <c r="D38" s="24"/>
      <c r="E38" s="24"/>
      <c r="F38" s="25"/>
      <c r="G38" s="26">
        <f t="shared" si="3"/>
        <v>5289.200000000001</v>
      </c>
      <c r="H38" s="26">
        <f t="shared" si="3"/>
        <v>2707.1</v>
      </c>
      <c r="I38" s="26">
        <f t="shared" si="0"/>
        <v>51.181653180065034</v>
      </c>
    </row>
    <row r="39" spans="1:9" ht="28.5">
      <c r="A39" s="287" t="s">
        <v>641</v>
      </c>
      <c r="B39" s="23"/>
      <c r="C39" s="24" t="s">
        <v>1140</v>
      </c>
      <c r="D39" s="24" t="s">
        <v>642</v>
      </c>
      <c r="E39" s="24"/>
      <c r="F39" s="25"/>
      <c r="G39" s="26">
        <f t="shared" si="3"/>
        <v>5289.200000000001</v>
      </c>
      <c r="H39" s="26">
        <f t="shared" si="3"/>
        <v>2707.1</v>
      </c>
      <c r="I39" s="26">
        <f t="shared" si="0"/>
        <v>51.181653180065034</v>
      </c>
    </row>
    <row r="40" spans="1:9" ht="42.75" customHeight="1">
      <c r="A40" s="285" t="s">
        <v>1143</v>
      </c>
      <c r="B40" s="23"/>
      <c r="C40" s="24" t="s">
        <v>1140</v>
      </c>
      <c r="D40" s="24" t="s">
        <v>642</v>
      </c>
      <c r="E40" s="24" t="s">
        <v>1144</v>
      </c>
      <c r="F40" s="28"/>
      <c r="G40" s="26">
        <f>SUM(G41+G43)</f>
        <v>5289.200000000001</v>
      </c>
      <c r="H40" s="26">
        <f>SUM(H41+H43)</f>
        <v>2707.1</v>
      </c>
      <c r="I40" s="26">
        <f t="shared" si="0"/>
        <v>51.181653180065034</v>
      </c>
    </row>
    <row r="41" spans="1:9" ht="19.5" customHeight="1">
      <c r="A41" s="285" t="s">
        <v>1151</v>
      </c>
      <c r="B41" s="23"/>
      <c r="C41" s="24" t="s">
        <v>1140</v>
      </c>
      <c r="D41" s="24" t="s">
        <v>642</v>
      </c>
      <c r="E41" s="24" t="s">
        <v>1153</v>
      </c>
      <c r="F41" s="28"/>
      <c r="G41" s="26">
        <f>SUM(G42)</f>
        <v>3744.2000000000003</v>
      </c>
      <c r="H41" s="26">
        <f>SUM(H42)</f>
        <v>2155.5</v>
      </c>
      <c r="I41" s="26">
        <f t="shared" si="0"/>
        <v>57.56904011537844</v>
      </c>
    </row>
    <row r="42" spans="1:9" ht="15">
      <c r="A42" s="285" t="s">
        <v>1147</v>
      </c>
      <c r="B42" s="23"/>
      <c r="C42" s="24" t="s">
        <v>1140</v>
      </c>
      <c r="D42" s="24" t="s">
        <v>642</v>
      </c>
      <c r="E42" s="24" t="s">
        <v>1153</v>
      </c>
      <c r="F42" s="25" t="s">
        <v>1148</v>
      </c>
      <c r="G42" s="26">
        <f>3703.8+40.4</f>
        <v>3744.2000000000003</v>
      </c>
      <c r="H42" s="26">
        <v>2155.5</v>
      </c>
      <c r="I42" s="26">
        <f t="shared" si="0"/>
        <v>57.56904011537844</v>
      </c>
    </row>
    <row r="43" spans="1:9" s="31" customFormat="1" ht="28.5">
      <c r="A43" s="285" t="s">
        <v>645</v>
      </c>
      <c r="B43" s="23"/>
      <c r="C43" s="24" t="s">
        <v>1152</v>
      </c>
      <c r="D43" s="24" t="s">
        <v>642</v>
      </c>
      <c r="E43" s="24" t="s">
        <v>646</v>
      </c>
      <c r="F43" s="29"/>
      <c r="G43" s="26">
        <f>SUM(G44)</f>
        <v>1545</v>
      </c>
      <c r="H43" s="26">
        <f>SUM(H44)</f>
        <v>551.6</v>
      </c>
      <c r="I43" s="26">
        <f t="shared" si="0"/>
        <v>35.702265372168284</v>
      </c>
    </row>
    <row r="44" spans="1:9" s="31" customFormat="1" ht="23.25" customHeight="1">
      <c r="A44" s="285" t="s">
        <v>1147</v>
      </c>
      <c r="B44" s="23"/>
      <c r="C44" s="24" t="s">
        <v>1152</v>
      </c>
      <c r="D44" s="24" t="s">
        <v>642</v>
      </c>
      <c r="E44" s="24" t="s">
        <v>646</v>
      </c>
      <c r="F44" s="25" t="s">
        <v>1148</v>
      </c>
      <c r="G44" s="26">
        <v>1545</v>
      </c>
      <c r="H44" s="26">
        <v>551.6</v>
      </c>
      <c r="I44" s="26">
        <f t="shared" si="0"/>
        <v>35.702265372168284</v>
      </c>
    </row>
    <row r="45" spans="1:9" s="31" customFormat="1" ht="29.25" customHeight="1">
      <c r="A45" s="290" t="s">
        <v>827</v>
      </c>
      <c r="B45" s="160" t="s">
        <v>116</v>
      </c>
      <c r="C45" s="37"/>
      <c r="D45" s="37"/>
      <c r="E45" s="37"/>
      <c r="F45" s="28"/>
      <c r="G45" s="161">
        <f>SUM(G46+G71)</f>
        <v>279417.5</v>
      </c>
      <c r="H45" s="26"/>
      <c r="I45" s="26"/>
    </row>
    <row r="46" spans="1:9" s="31" customFormat="1" ht="18.75" customHeight="1">
      <c r="A46" s="285" t="s">
        <v>1173</v>
      </c>
      <c r="B46" s="219"/>
      <c r="C46" s="220" t="s">
        <v>1174</v>
      </c>
      <c r="D46" s="220"/>
      <c r="E46" s="220"/>
      <c r="F46" s="221"/>
      <c r="G46" s="222">
        <f>SUM(G47+G57)</f>
        <v>82388.6</v>
      </c>
      <c r="H46" s="26"/>
      <c r="I46" s="26"/>
    </row>
    <row r="47" spans="1:9" s="31" customFormat="1" ht="20.25" customHeight="1">
      <c r="A47" s="285" t="s">
        <v>1175</v>
      </c>
      <c r="B47" s="219"/>
      <c r="C47" s="220" t="s">
        <v>1174</v>
      </c>
      <c r="D47" s="220" t="s">
        <v>1176</v>
      </c>
      <c r="E47" s="220"/>
      <c r="F47" s="221"/>
      <c r="G47" s="222">
        <f>SUM(G51)+G48</f>
        <v>82388.6</v>
      </c>
      <c r="H47" s="26"/>
      <c r="I47" s="26"/>
    </row>
    <row r="48" spans="1:9" s="31" customFormat="1" ht="22.5" customHeight="1">
      <c r="A48" s="285" t="s">
        <v>999</v>
      </c>
      <c r="B48" s="219"/>
      <c r="C48" s="220" t="s">
        <v>1174</v>
      </c>
      <c r="D48" s="220" t="s">
        <v>1176</v>
      </c>
      <c r="E48" s="223" t="s">
        <v>1000</v>
      </c>
      <c r="F48" s="224"/>
      <c r="G48" s="222">
        <f>SUM(G49)+G50</f>
        <v>33502.3</v>
      </c>
      <c r="H48" s="26"/>
      <c r="I48" s="26"/>
    </row>
    <row r="49" spans="1:9" s="31" customFormat="1" ht="17.25" customHeight="1">
      <c r="A49" s="285" t="s">
        <v>1001</v>
      </c>
      <c r="B49" s="219"/>
      <c r="C49" s="220" t="s">
        <v>1174</v>
      </c>
      <c r="D49" s="220" t="s">
        <v>1176</v>
      </c>
      <c r="E49" s="223" t="s">
        <v>1000</v>
      </c>
      <c r="F49" s="221" t="s">
        <v>1002</v>
      </c>
      <c r="G49" s="222">
        <v>33502.3</v>
      </c>
      <c r="H49" s="26"/>
      <c r="I49" s="26"/>
    </row>
    <row r="50" spans="1:9" s="31" customFormat="1" ht="35.25" customHeight="1" hidden="1">
      <c r="A50" s="285" t="s">
        <v>1147</v>
      </c>
      <c r="B50" s="219"/>
      <c r="C50" s="220" t="s">
        <v>1174</v>
      </c>
      <c r="D50" s="220" t="s">
        <v>1176</v>
      </c>
      <c r="E50" s="223" t="s">
        <v>1000</v>
      </c>
      <c r="F50" s="221" t="s">
        <v>1148</v>
      </c>
      <c r="G50" s="222"/>
      <c r="H50" s="26"/>
      <c r="I50" s="26"/>
    </row>
    <row r="51" spans="1:9" s="31" customFormat="1" ht="16.5" customHeight="1">
      <c r="A51" s="285" t="s">
        <v>1177</v>
      </c>
      <c r="B51" s="219"/>
      <c r="C51" s="220" t="s">
        <v>1174</v>
      </c>
      <c r="D51" s="220" t="s">
        <v>1176</v>
      </c>
      <c r="E51" s="220" t="s">
        <v>32</v>
      </c>
      <c r="F51" s="221"/>
      <c r="G51" s="222">
        <f>SUM(G52,G55)</f>
        <v>48886.3</v>
      </c>
      <c r="H51" s="26"/>
      <c r="I51" s="26"/>
    </row>
    <row r="52" spans="1:9" s="31" customFormat="1" ht="23.25" customHeight="1">
      <c r="A52" s="285" t="s">
        <v>1016</v>
      </c>
      <c r="B52" s="219"/>
      <c r="C52" s="220" t="s">
        <v>1174</v>
      </c>
      <c r="D52" s="220" t="s">
        <v>1176</v>
      </c>
      <c r="E52" s="220" t="s">
        <v>308</v>
      </c>
      <c r="F52" s="221"/>
      <c r="G52" s="222">
        <f>SUM(G53)</f>
        <v>48886.3</v>
      </c>
      <c r="H52" s="26"/>
      <c r="I52" s="26"/>
    </row>
    <row r="53" spans="1:9" s="31" customFormat="1" ht="28.5">
      <c r="A53" s="285" t="s">
        <v>754</v>
      </c>
      <c r="B53" s="219"/>
      <c r="C53" s="220" t="s">
        <v>1174</v>
      </c>
      <c r="D53" s="220" t="s">
        <v>1176</v>
      </c>
      <c r="E53" s="220" t="s">
        <v>309</v>
      </c>
      <c r="F53" s="221"/>
      <c r="G53" s="222">
        <f>SUM(G54)</f>
        <v>48886.3</v>
      </c>
      <c r="H53" s="26"/>
      <c r="I53" s="26"/>
    </row>
    <row r="54" spans="1:9" s="39" customFormat="1" ht="42.75">
      <c r="A54" s="302" t="s">
        <v>1017</v>
      </c>
      <c r="B54" s="225"/>
      <c r="C54" s="223" t="s">
        <v>1174</v>
      </c>
      <c r="D54" s="223" t="s">
        <v>1176</v>
      </c>
      <c r="E54" s="223" t="s">
        <v>309</v>
      </c>
      <c r="F54" s="224" t="s">
        <v>496</v>
      </c>
      <c r="G54" s="222">
        <v>48886.3</v>
      </c>
      <c r="H54" s="26"/>
      <c r="I54" s="26"/>
    </row>
    <row r="55" spans="1:9" s="31" customFormat="1" ht="42.75" hidden="1">
      <c r="A55" s="285" t="s">
        <v>1077</v>
      </c>
      <c r="B55" s="219"/>
      <c r="C55" s="220" t="s">
        <v>1174</v>
      </c>
      <c r="D55" s="220" t="s">
        <v>1176</v>
      </c>
      <c r="E55" s="220" t="s">
        <v>1078</v>
      </c>
      <c r="F55" s="221"/>
      <c r="G55" s="222">
        <f>SUM(G56)</f>
        <v>0</v>
      </c>
      <c r="H55" s="26"/>
      <c r="I55" s="26"/>
    </row>
    <row r="56" spans="1:9" s="31" customFormat="1" ht="15" hidden="1">
      <c r="A56" s="285" t="s">
        <v>1001</v>
      </c>
      <c r="B56" s="219"/>
      <c r="C56" s="220" t="s">
        <v>1174</v>
      </c>
      <c r="D56" s="220" t="s">
        <v>1176</v>
      </c>
      <c r="E56" s="220" t="s">
        <v>1078</v>
      </c>
      <c r="F56" s="221" t="s">
        <v>1002</v>
      </c>
      <c r="G56" s="222"/>
      <c r="H56" s="26"/>
      <c r="I56" s="26"/>
    </row>
    <row r="57" spans="1:9" s="31" customFormat="1" ht="15" hidden="1">
      <c r="A57" s="291" t="s">
        <v>35</v>
      </c>
      <c r="B57" s="225"/>
      <c r="C57" s="223" t="s">
        <v>1174</v>
      </c>
      <c r="D57" s="223" t="s">
        <v>661</v>
      </c>
      <c r="E57" s="223"/>
      <c r="F57" s="224"/>
      <c r="G57" s="222">
        <f>SUM(G61+G63+G68+G58)</f>
        <v>0</v>
      </c>
      <c r="H57" s="26"/>
      <c r="I57" s="26"/>
    </row>
    <row r="58" spans="1:9" s="31" customFormat="1" ht="28.5" hidden="1">
      <c r="A58" s="291" t="s">
        <v>146</v>
      </c>
      <c r="B58" s="223"/>
      <c r="C58" s="223" t="s">
        <v>1174</v>
      </c>
      <c r="D58" s="223" t="s">
        <v>661</v>
      </c>
      <c r="E58" s="223" t="s">
        <v>1071</v>
      </c>
      <c r="F58" s="224"/>
      <c r="G58" s="222">
        <f>SUM(G60)</f>
        <v>0</v>
      </c>
      <c r="H58" s="26"/>
      <c r="I58" s="26"/>
    </row>
    <row r="59" spans="1:9" s="31" customFormat="1" ht="28.5" hidden="1">
      <c r="A59" s="291" t="s">
        <v>196</v>
      </c>
      <c r="B59" s="223"/>
      <c r="C59" s="223" t="s">
        <v>1174</v>
      </c>
      <c r="D59" s="223" t="s">
        <v>661</v>
      </c>
      <c r="E59" s="73" t="s">
        <v>197</v>
      </c>
      <c r="F59" s="224"/>
      <c r="G59" s="222">
        <f>SUM(G60)</f>
        <v>0</v>
      </c>
      <c r="H59" s="26"/>
      <c r="I59" s="26"/>
    </row>
    <row r="60" spans="1:9" s="31" customFormat="1" ht="15" hidden="1">
      <c r="A60" s="291" t="s">
        <v>198</v>
      </c>
      <c r="B60" s="223"/>
      <c r="C60" s="223" t="s">
        <v>1174</v>
      </c>
      <c r="D60" s="223" t="s">
        <v>661</v>
      </c>
      <c r="E60" s="73" t="s">
        <v>197</v>
      </c>
      <c r="F60" s="224" t="s">
        <v>199</v>
      </c>
      <c r="G60" s="222"/>
      <c r="H60" s="26"/>
      <c r="I60" s="26"/>
    </row>
    <row r="61" spans="1:9" s="31" customFormat="1" ht="28.5" hidden="1">
      <c r="A61" s="292" t="s">
        <v>1079</v>
      </c>
      <c r="B61" s="223"/>
      <c r="C61" s="223" t="s">
        <v>1174</v>
      </c>
      <c r="D61" s="223" t="s">
        <v>661</v>
      </c>
      <c r="E61" s="223" t="s">
        <v>1080</v>
      </c>
      <c r="F61" s="224"/>
      <c r="G61" s="222">
        <f>SUM(G62)</f>
        <v>0</v>
      </c>
      <c r="H61" s="26"/>
      <c r="I61" s="26"/>
    </row>
    <row r="62" spans="1:9" s="31" customFormat="1" ht="15" hidden="1">
      <c r="A62" s="285" t="s">
        <v>1147</v>
      </c>
      <c r="B62" s="223"/>
      <c r="C62" s="223" t="s">
        <v>1174</v>
      </c>
      <c r="D62" s="223" t="s">
        <v>661</v>
      </c>
      <c r="E62" s="223" t="s">
        <v>1080</v>
      </c>
      <c r="F62" s="224" t="s">
        <v>1148</v>
      </c>
      <c r="G62" s="222">
        <f>5050-2000-3050</f>
        <v>0</v>
      </c>
      <c r="H62" s="26"/>
      <c r="I62" s="26"/>
    </row>
    <row r="63" spans="1:9" s="31" customFormat="1" ht="28.5" hidden="1">
      <c r="A63" s="285" t="s">
        <v>37</v>
      </c>
      <c r="B63" s="219"/>
      <c r="C63" s="223" t="s">
        <v>1174</v>
      </c>
      <c r="D63" s="223" t="s">
        <v>661</v>
      </c>
      <c r="E63" s="220" t="s">
        <v>38</v>
      </c>
      <c r="F63" s="224"/>
      <c r="G63" s="222">
        <f>SUM(G64)</f>
        <v>0</v>
      </c>
      <c r="H63" s="26"/>
      <c r="I63" s="26"/>
    </row>
    <row r="64" spans="1:9" s="31" customFormat="1" ht="15" hidden="1">
      <c r="A64" s="285" t="s">
        <v>1081</v>
      </c>
      <c r="B64" s="219"/>
      <c r="C64" s="223" t="s">
        <v>1174</v>
      </c>
      <c r="D64" s="223" t="s">
        <v>661</v>
      </c>
      <c r="E64" s="220" t="s">
        <v>1082</v>
      </c>
      <c r="F64" s="224"/>
      <c r="G64" s="222">
        <f>SUM(G65)</f>
        <v>0</v>
      </c>
      <c r="H64" s="26"/>
      <c r="I64" s="26"/>
    </row>
    <row r="65" spans="1:9" s="31" customFormat="1" ht="15" hidden="1">
      <c r="A65" s="285" t="s">
        <v>1147</v>
      </c>
      <c r="B65" s="219"/>
      <c r="C65" s="223" t="s">
        <v>1174</v>
      </c>
      <c r="D65" s="223" t="s">
        <v>661</v>
      </c>
      <c r="E65" s="220" t="s">
        <v>1082</v>
      </c>
      <c r="F65" s="224" t="s">
        <v>1148</v>
      </c>
      <c r="G65" s="222"/>
      <c r="H65" s="26"/>
      <c r="I65" s="26"/>
    </row>
    <row r="66" spans="1:9" s="31" customFormat="1" ht="28.5" hidden="1">
      <c r="A66" s="285" t="s">
        <v>37</v>
      </c>
      <c r="B66" s="219"/>
      <c r="C66" s="223" t="s">
        <v>1174</v>
      </c>
      <c r="D66" s="223" t="s">
        <v>661</v>
      </c>
      <c r="E66" s="220" t="s">
        <v>38</v>
      </c>
      <c r="F66" s="224"/>
      <c r="G66" s="222">
        <f>SUM(G67)</f>
        <v>0</v>
      </c>
      <c r="H66" s="26"/>
      <c r="I66" s="26"/>
    </row>
    <row r="67" spans="1:9" s="31" customFormat="1" ht="15" hidden="1">
      <c r="A67" s="285" t="s">
        <v>1068</v>
      </c>
      <c r="B67" s="219"/>
      <c r="C67" s="223" t="s">
        <v>1174</v>
      </c>
      <c r="D67" s="223" t="s">
        <v>661</v>
      </c>
      <c r="E67" s="220" t="s">
        <v>38</v>
      </c>
      <c r="F67" s="224" t="s">
        <v>1069</v>
      </c>
      <c r="G67" s="222"/>
      <c r="H67" s="26"/>
      <c r="I67" s="26"/>
    </row>
    <row r="68" spans="1:9" s="31" customFormat="1" ht="15" hidden="1">
      <c r="A68" s="285" t="s">
        <v>1186</v>
      </c>
      <c r="B68" s="219"/>
      <c r="C68" s="223" t="s">
        <v>1174</v>
      </c>
      <c r="D68" s="223" t="s">
        <v>661</v>
      </c>
      <c r="E68" s="220" t="s">
        <v>1187</v>
      </c>
      <c r="F68" s="224"/>
      <c r="G68" s="222">
        <f>SUM(G69)</f>
        <v>0</v>
      </c>
      <c r="H68" s="26"/>
      <c r="I68" s="26"/>
    </row>
    <row r="69" spans="1:9" s="31" customFormat="1" ht="15" hidden="1">
      <c r="A69" s="285" t="s">
        <v>1147</v>
      </c>
      <c r="B69" s="219"/>
      <c r="C69" s="223" t="s">
        <v>1174</v>
      </c>
      <c r="D69" s="223" t="s">
        <v>661</v>
      </c>
      <c r="E69" s="220" t="s">
        <v>1187</v>
      </c>
      <c r="F69" s="224" t="s">
        <v>1148</v>
      </c>
      <c r="G69" s="222"/>
      <c r="H69" s="26"/>
      <c r="I69" s="26"/>
    </row>
    <row r="70" spans="1:9" s="31" customFormat="1" ht="28.5" hidden="1">
      <c r="A70" s="293" t="s">
        <v>1083</v>
      </c>
      <c r="B70" s="225"/>
      <c r="C70" s="223" t="s">
        <v>1174</v>
      </c>
      <c r="D70" s="223" t="s">
        <v>661</v>
      </c>
      <c r="E70" s="220" t="s">
        <v>1084</v>
      </c>
      <c r="F70" s="224" t="s">
        <v>1148</v>
      </c>
      <c r="G70" s="226"/>
      <c r="H70" s="26"/>
      <c r="I70" s="26"/>
    </row>
    <row r="71" spans="1:9" s="58" customFormat="1" ht="18.75" customHeight="1">
      <c r="A71" s="291" t="s">
        <v>1086</v>
      </c>
      <c r="B71" s="36"/>
      <c r="C71" s="37" t="s">
        <v>1190</v>
      </c>
      <c r="D71" s="37"/>
      <c r="E71" s="37"/>
      <c r="F71" s="29"/>
      <c r="G71" s="164">
        <f>SUM(G72+G123+G151+G180)</f>
        <v>197028.90000000002</v>
      </c>
      <c r="H71" s="164" t="e">
        <f>SUM(H72+H123+H151+H180)</f>
        <v>#REF!</v>
      </c>
      <c r="I71" s="26" t="e">
        <f aca="true" t="shared" si="4" ref="I71:I111">SUM(H71/G71*100)</f>
        <v>#REF!</v>
      </c>
    </row>
    <row r="72" spans="1:9" s="58" customFormat="1" ht="18.75" customHeight="1">
      <c r="A72" s="285" t="s">
        <v>1087</v>
      </c>
      <c r="B72" s="23"/>
      <c r="C72" s="24" t="s">
        <v>1190</v>
      </c>
      <c r="D72" s="24" t="s">
        <v>1140</v>
      </c>
      <c r="E72" s="24"/>
      <c r="F72" s="25"/>
      <c r="G72" s="26">
        <f>SUM(G93+G115+G85+G98+G73+G112)</f>
        <v>2116.1</v>
      </c>
      <c r="H72" s="26">
        <f>SUM(H93+H115+H85+H98+H73)</f>
        <v>24076.4</v>
      </c>
      <c r="I72" s="26">
        <f t="shared" si="4"/>
        <v>1137.7723169982517</v>
      </c>
    </row>
    <row r="73" spans="1:9" s="39" customFormat="1" ht="28.5">
      <c r="A73" s="293" t="s">
        <v>1088</v>
      </c>
      <c r="B73" s="66"/>
      <c r="C73" s="24" t="s">
        <v>1190</v>
      </c>
      <c r="D73" s="24" t="s">
        <v>1140</v>
      </c>
      <c r="E73" s="24" t="s">
        <v>1089</v>
      </c>
      <c r="F73" s="25"/>
      <c r="G73" s="26">
        <f>SUM(G74+G81)</f>
        <v>2000</v>
      </c>
      <c r="H73" s="26">
        <f>SUM(H74+H81)</f>
        <v>23798.300000000003</v>
      </c>
      <c r="I73" s="26">
        <f t="shared" si="4"/>
        <v>1189.9150000000002</v>
      </c>
    </row>
    <row r="74" spans="1:9" s="39" customFormat="1" ht="57" hidden="1">
      <c r="A74" s="293" t="s">
        <v>1090</v>
      </c>
      <c r="B74" s="66"/>
      <c r="C74" s="24" t="s">
        <v>1190</v>
      </c>
      <c r="D74" s="24" t="s">
        <v>1140</v>
      </c>
      <c r="E74" s="24" t="s">
        <v>1091</v>
      </c>
      <c r="F74" s="25"/>
      <c r="G74" s="26">
        <f>SUM(G75+G77+G79)</f>
        <v>0</v>
      </c>
      <c r="H74" s="26">
        <f>SUM(H75+H77+H79)</f>
        <v>20414.4</v>
      </c>
      <c r="I74" s="26" t="e">
        <f t="shared" si="4"/>
        <v>#DIV/0!</v>
      </c>
    </row>
    <row r="75" spans="1:9" s="39" customFormat="1" ht="42.75" hidden="1">
      <c r="A75" s="293" t="s">
        <v>1040</v>
      </c>
      <c r="B75" s="66"/>
      <c r="C75" s="24" t="s">
        <v>1190</v>
      </c>
      <c r="D75" s="24" t="s">
        <v>1140</v>
      </c>
      <c r="E75" s="24" t="s">
        <v>1041</v>
      </c>
      <c r="F75" s="25"/>
      <c r="G75" s="26">
        <f>SUM(G76)</f>
        <v>0</v>
      </c>
      <c r="H75" s="26">
        <f>SUM(H76)</f>
        <v>15652.8</v>
      </c>
      <c r="I75" s="26" t="e">
        <f t="shared" si="4"/>
        <v>#DIV/0!</v>
      </c>
    </row>
    <row r="76" spans="1:9" s="39" customFormat="1" ht="15" hidden="1">
      <c r="A76" s="285" t="s">
        <v>1001</v>
      </c>
      <c r="B76" s="23"/>
      <c r="C76" s="24" t="s">
        <v>1190</v>
      </c>
      <c r="D76" s="24" t="s">
        <v>1140</v>
      </c>
      <c r="E76" s="24" t="s">
        <v>1041</v>
      </c>
      <c r="F76" s="25" t="s">
        <v>1002</v>
      </c>
      <c r="G76" s="26"/>
      <c r="H76" s="26">
        <v>15652.8</v>
      </c>
      <c r="I76" s="26" t="e">
        <f t="shared" si="4"/>
        <v>#DIV/0!</v>
      </c>
    </row>
    <row r="77" spans="1:9" s="39" customFormat="1" ht="57" hidden="1">
      <c r="A77" s="293" t="s">
        <v>1042</v>
      </c>
      <c r="B77" s="66"/>
      <c r="C77" s="24" t="s">
        <v>1190</v>
      </c>
      <c r="D77" s="24" t="s">
        <v>1140</v>
      </c>
      <c r="E77" s="24" t="s">
        <v>1043</v>
      </c>
      <c r="F77" s="25"/>
      <c r="G77" s="26">
        <f>SUM(G78)</f>
        <v>0</v>
      </c>
      <c r="H77" s="26">
        <f>SUM(H78)</f>
        <v>0</v>
      </c>
      <c r="I77" s="26" t="e">
        <f t="shared" si="4"/>
        <v>#DIV/0!</v>
      </c>
    </row>
    <row r="78" spans="1:9" s="39" customFormat="1" ht="15" hidden="1">
      <c r="A78" s="342" t="s">
        <v>198</v>
      </c>
      <c r="B78" s="66"/>
      <c r="C78" s="24" t="s">
        <v>1190</v>
      </c>
      <c r="D78" s="24" t="s">
        <v>1140</v>
      </c>
      <c r="E78" s="24" t="s">
        <v>1043</v>
      </c>
      <c r="F78" s="25" t="s">
        <v>199</v>
      </c>
      <c r="G78" s="26"/>
      <c r="H78" s="26"/>
      <c r="I78" s="26" t="e">
        <f t="shared" si="4"/>
        <v>#DIV/0!</v>
      </c>
    </row>
    <row r="79" spans="1:9" s="39" customFormat="1" ht="71.25" hidden="1">
      <c r="A79" s="293" t="s">
        <v>210</v>
      </c>
      <c r="B79" s="66"/>
      <c r="C79" s="24" t="s">
        <v>1190</v>
      </c>
      <c r="D79" s="24" t="s">
        <v>1140</v>
      </c>
      <c r="E79" s="24" t="s">
        <v>211</v>
      </c>
      <c r="F79" s="25"/>
      <c r="G79" s="26">
        <f>SUM(G80)</f>
        <v>0</v>
      </c>
      <c r="H79" s="26">
        <f>SUM(H80)</f>
        <v>4761.6</v>
      </c>
      <c r="I79" s="26" t="e">
        <f t="shared" si="4"/>
        <v>#DIV/0!</v>
      </c>
    </row>
    <row r="80" spans="1:9" s="39" customFormat="1" ht="15" hidden="1">
      <c r="A80" s="342" t="s">
        <v>198</v>
      </c>
      <c r="B80" s="66"/>
      <c r="C80" s="24" t="s">
        <v>1190</v>
      </c>
      <c r="D80" s="24" t="s">
        <v>1140</v>
      </c>
      <c r="E80" s="24" t="s">
        <v>211</v>
      </c>
      <c r="F80" s="25" t="s">
        <v>199</v>
      </c>
      <c r="G80" s="26"/>
      <c r="H80" s="26">
        <v>4761.6</v>
      </c>
      <c r="I80" s="26" t="e">
        <f t="shared" si="4"/>
        <v>#DIV/0!</v>
      </c>
    </row>
    <row r="81" spans="1:9" s="39" customFormat="1" ht="42.75">
      <c r="A81" s="291" t="s">
        <v>1092</v>
      </c>
      <c r="B81" s="66"/>
      <c r="C81" s="24" t="s">
        <v>1190</v>
      </c>
      <c r="D81" s="24" t="s">
        <v>1140</v>
      </c>
      <c r="E81" s="24" t="s">
        <v>1093</v>
      </c>
      <c r="F81" s="25"/>
      <c r="G81" s="26">
        <f>SUM(G82)+G88+G91</f>
        <v>2000</v>
      </c>
      <c r="H81" s="26">
        <f>SUM(H82)+H88+H91</f>
        <v>3383.9</v>
      </c>
      <c r="I81" s="26">
        <f t="shared" si="4"/>
        <v>169.195</v>
      </c>
    </row>
    <row r="82" spans="1:9" s="39" customFormat="1" ht="28.5">
      <c r="A82" s="291" t="s">
        <v>1094</v>
      </c>
      <c r="B82" s="66"/>
      <c r="C82" s="24" t="s">
        <v>1190</v>
      </c>
      <c r="D82" s="24" t="s">
        <v>1140</v>
      </c>
      <c r="E82" s="24" t="s">
        <v>1095</v>
      </c>
      <c r="F82" s="25"/>
      <c r="G82" s="26">
        <f>SUM(G83+G84)</f>
        <v>2000</v>
      </c>
      <c r="H82" s="26">
        <f>SUM(H83+H84)</f>
        <v>1562</v>
      </c>
      <c r="I82" s="26">
        <f t="shared" si="4"/>
        <v>78.10000000000001</v>
      </c>
    </row>
    <row r="83" spans="1:9" s="39" customFormat="1" ht="15">
      <c r="A83" s="295" t="s">
        <v>1001</v>
      </c>
      <c r="B83" s="66"/>
      <c r="C83" s="24" t="s">
        <v>1190</v>
      </c>
      <c r="D83" s="24" t="s">
        <v>1140</v>
      </c>
      <c r="E83" s="24" t="s">
        <v>1095</v>
      </c>
      <c r="F83" s="25" t="s">
        <v>1002</v>
      </c>
      <c r="G83" s="26">
        <v>2000</v>
      </c>
      <c r="H83" s="26">
        <v>233.9</v>
      </c>
      <c r="I83" s="26">
        <f t="shared" si="4"/>
        <v>11.695</v>
      </c>
    </row>
    <row r="84" spans="1:9" s="39" customFormat="1" ht="28.5" hidden="1">
      <c r="A84" s="295" t="s">
        <v>1096</v>
      </c>
      <c r="B84" s="66"/>
      <c r="C84" s="24" t="s">
        <v>1190</v>
      </c>
      <c r="D84" s="24" t="s">
        <v>1140</v>
      </c>
      <c r="E84" s="24" t="s">
        <v>1095</v>
      </c>
      <c r="F84" s="25" t="s">
        <v>1097</v>
      </c>
      <c r="G84" s="26"/>
      <c r="H84" s="26">
        <v>1328.1</v>
      </c>
      <c r="I84" s="26" t="e">
        <f t="shared" si="4"/>
        <v>#DIV/0!</v>
      </c>
    </row>
    <row r="85" spans="1:9" s="39" customFormat="1" ht="28.5" hidden="1">
      <c r="A85" s="291" t="s">
        <v>146</v>
      </c>
      <c r="B85" s="23"/>
      <c r="C85" s="24" t="s">
        <v>1190</v>
      </c>
      <c r="D85" s="24" t="s">
        <v>1140</v>
      </c>
      <c r="E85" s="24" t="s">
        <v>1071</v>
      </c>
      <c r="F85" s="25"/>
      <c r="G85" s="26">
        <f>SUM(G86)</f>
        <v>0</v>
      </c>
      <c r="H85" s="26">
        <f>SUM(H86)</f>
        <v>0</v>
      </c>
      <c r="I85" s="26" t="e">
        <f t="shared" si="4"/>
        <v>#DIV/0!</v>
      </c>
    </row>
    <row r="86" spans="1:9" s="39" customFormat="1" ht="28.5" hidden="1">
      <c r="A86" s="291" t="s">
        <v>196</v>
      </c>
      <c r="B86" s="23"/>
      <c r="C86" s="24" t="s">
        <v>1190</v>
      </c>
      <c r="D86" s="24" t="s">
        <v>1140</v>
      </c>
      <c r="E86" s="24" t="s">
        <v>197</v>
      </c>
      <c r="F86" s="25"/>
      <c r="G86" s="26">
        <f>SUM(G87)</f>
        <v>0</v>
      </c>
      <c r="H86" s="26">
        <f>SUM(H87)</f>
        <v>0</v>
      </c>
      <c r="I86" s="26" t="e">
        <f t="shared" si="4"/>
        <v>#DIV/0!</v>
      </c>
    </row>
    <row r="87" spans="1:9" s="39" customFormat="1" ht="15" hidden="1">
      <c r="A87" s="291" t="s">
        <v>198</v>
      </c>
      <c r="B87" s="23"/>
      <c r="C87" s="24" t="s">
        <v>1190</v>
      </c>
      <c r="D87" s="24" t="s">
        <v>1140</v>
      </c>
      <c r="E87" s="24" t="s">
        <v>197</v>
      </c>
      <c r="F87" s="25" t="s">
        <v>199</v>
      </c>
      <c r="G87" s="26"/>
      <c r="H87" s="26"/>
      <c r="I87" s="26" t="e">
        <f t="shared" si="4"/>
        <v>#DIV/0!</v>
      </c>
    </row>
    <row r="88" spans="1:9" s="39" customFormat="1" ht="28.5" hidden="1">
      <c r="A88" s="291" t="s">
        <v>1098</v>
      </c>
      <c r="B88" s="23"/>
      <c r="C88" s="24" t="s">
        <v>1190</v>
      </c>
      <c r="D88" s="24" t="s">
        <v>1140</v>
      </c>
      <c r="E88" s="24" t="s">
        <v>1099</v>
      </c>
      <c r="F88" s="25"/>
      <c r="G88" s="26">
        <f>SUM(G89+G90)</f>
        <v>0</v>
      </c>
      <c r="H88" s="26">
        <f>SUM(H89+H90)</f>
        <v>0</v>
      </c>
      <c r="I88" s="26" t="e">
        <f t="shared" si="4"/>
        <v>#DIV/0!</v>
      </c>
    </row>
    <row r="89" spans="1:9" s="39" customFormat="1" ht="15" hidden="1">
      <c r="A89" s="342" t="s">
        <v>198</v>
      </c>
      <c r="B89" s="23"/>
      <c r="C89" s="24" t="s">
        <v>1190</v>
      </c>
      <c r="D89" s="24" t="s">
        <v>1140</v>
      </c>
      <c r="E89" s="24" t="s">
        <v>1099</v>
      </c>
      <c r="F89" s="25" t="s">
        <v>199</v>
      </c>
      <c r="G89" s="26"/>
      <c r="H89" s="26"/>
      <c r="I89" s="26" t="e">
        <f t="shared" si="4"/>
        <v>#DIV/0!</v>
      </c>
    </row>
    <row r="90" spans="1:9" s="39" customFormat="1" ht="15" hidden="1">
      <c r="A90" s="342" t="s">
        <v>1111</v>
      </c>
      <c r="B90" s="23"/>
      <c r="C90" s="24" t="s">
        <v>1190</v>
      </c>
      <c r="D90" s="24" t="s">
        <v>1140</v>
      </c>
      <c r="E90" s="24" t="s">
        <v>1099</v>
      </c>
      <c r="F90" s="25" t="s">
        <v>1112</v>
      </c>
      <c r="G90" s="26"/>
      <c r="H90" s="26"/>
      <c r="I90" s="26" t="e">
        <f t="shared" si="4"/>
        <v>#DIV/0!</v>
      </c>
    </row>
    <row r="91" spans="1:9" s="39" customFormat="1" ht="42.75" hidden="1">
      <c r="A91" s="291" t="s">
        <v>1113</v>
      </c>
      <c r="B91" s="23"/>
      <c r="C91" s="24" t="s">
        <v>1190</v>
      </c>
      <c r="D91" s="24" t="s">
        <v>1140</v>
      </c>
      <c r="E91" s="24" t="s">
        <v>1114</v>
      </c>
      <c r="F91" s="25"/>
      <c r="G91" s="26">
        <f>SUM(G92)</f>
        <v>0</v>
      </c>
      <c r="H91" s="26">
        <f>SUM(H92)</f>
        <v>1821.9</v>
      </c>
      <c r="I91" s="26" t="e">
        <f t="shared" si="4"/>
        <v>#DIV/0!</v>
      </c>
    </row>
    <row r="92" spans="1:9" s="39" customFormat="1" ht="15" hidden="1">
      <c r="A92" s="342" t="s">
        <v>198</v>
      </c>
      <c r="B92" s="23"/>
      <c r="C92" s="24" t="s">
        <v>1190</v>
      </c>
      <c r="D92" s="24" t="s">
        <v>1140</v>
      </c>
      <c r="E92" s="24" t="s">
        <v>1114</v>
      </c>
      <c r="F92" s="25" t="s">
        <v>199</v>
      </c>
      <c r="G92" s="26"/>
      <c r="H92" s="26">
        <v>1821.9</v>
      </c>
      <c r="I92" s="26" t="e">
        <f t="shared" si="4"/>
        <v>#DIV/0!</v>
      </c>
    </row>
    <row r="93" spans="1:9" s="39" customFormat="1" ht="15">
      <c r="A93" s="285" t="s">
        <v>1115</v>
      </c>
      <c r="B93" s="23"/>
      <c r="C93" s="24" t="s">
        <v>1190</v>
      </c>
      <c r="D93" s="24" t="s">
        <v>1140</v>
      </c>
      <c r="E93" s="24" t="s">
        <v>310</v>
      </c>
      <c r="F93" s="25"/>
      <c r="G93" s="26">
        <f>SUM(G94+G96)</f>
        <v>50</v>
      </c>
      <c r="H93" s="26">
        <f>SUM(H94+H96)</f>
        <v>0</v>
      </c>
      <c r="I93" s="26">
        <f t="shared" si="4"/>
        <v>0</v>
      </c>
    </row>
    <row r="94" spans="1:9" s="39" customFormat="1" ht="25.5" customHeight="1">
      <c r="A94" s="287" t="s">
        <v>312</v>
      </c>
      <c r="B94" s="23"/>
      <c r="C94" s="24" t="s">
        <v>1190</v>
      </c>
      <c r="D94" s="24" t="s">
        <v>1140</v>
      </c>
      <c r="E94" s="24" t="s">
        <v>311</v>
      </c>
      <c r="F94" s="25"/>
      <c r="G94" s="26">
        <f>SUM(G95)</f>
        <v>50</v>
      </c>
      <c r="H94" s="26">
        <f>SUM(H95)</f>
        <v>0</v>
      </c>
      <c r="I94" s="26">
        <f t="shared" si="4"/>
        <v>0</v>
      </c>
    </row>
    <row r="95" spans="1:9" s="39" customFormat="1" ht="14.25" customHeight="1">
      <c r="A95" s="285" t="s">
        <v>1001</v>
      </c>
      <c r="B95" s="23"/>
      <c r="C95" s="24" t="s">
        <v>1190</v>
      </c>
      <c r="D95" s="24" t="s">
        <v>1140</v>
      </c>
      <c r="E95" s="24" t="s">
        <v>311</v>
      </c>
      <c r="F95" s="25" t="s">
        <v>1002</v>
      </c>
      <c r="G95" s="26">
        <v>50</v>
      </c>
      <c r="H95" s="26"/>
      <c r="I95" s="26">
        <f t="shared" si="4"/>
        <v>0</v>
      </c>
    </row>
    <row r="96" spans="1:9" s="39" customFormat="1" ht="28.5" hidden="1">
      <c r="A96" s="287" t="s">
        <v>1119</v>
      </c>
      <c r="B96" s="36"/>
      <c r="C96" s="24" t="s">
        <v>1190</v>
      </c>
      <c r="D96" s="24" t="s">
        <v>1140</v>
      </c>
      <c r="E96" s="24" t="s">
        <v>1120</v>
      </c>
      <c r="F96" s="28"/>
      <c r="G96" s="26">
        <f>SUM(G97)</f>
        <v>0</v>
      </c>
      <c r="H96" s="26">
        <f>SUM(H97)</f>
        <v>0</v>
      </c>
      <c r="I96" s="26" t="e">
        <f t="shared" si="4"/>
        <v>#DIV/0!</v>
      </c>
    </row>
    <row r="97" spans="1:9" s="39" customFormat="1" ht="15" hidden="1">
      <c r="A97" s="285" t="s">
        <v>1147</v>
      </c>
      <c r="B97" s="69"/>
      <c r="C97" s="24" t="s">
        <v>1190</v>
      </c>
      <c r="D97" s="24" t="s">
        <v>1140</v>
      </c>
      <c r="E97" s="24" t="s">
        <v>1120</v>
      </c>
      <c r="F97" s="52" t="s">
        <v>1148</v>
      </c>
      <c r="G97" s="54"/>
      <c r="H97" s="54"/>
      <c r="I97" s="26" t="e">
        <f t="shared" si="4"/>
        <v>#DIV/0!</v>
      </c>
    </row>
    <row r="98" spans="1:9" s="39" customFormat="1" ht="15" hidden="1">
      <c r="A98" s="287" t="s">
        <v>990</v>
      </c>
      <c r="B98" s="50"/>
      <c r="C98" s="73" t="s">
        <v>1190</v>
      </c>
      <c r="D98" s="73" t="s">
        <v>1140</v>
      </c>
      <c r="E98" s="73" t="s">
        <v>991</v>
      </c>
      <c r="F98" s="71"/>
      <c r="G98" s="72">
        <f>SUM(G102)+G107+G99</f>
        <v>0</v>
      </c>
      <c r="H98" s="72">
        <f>SUM(H102)+H107+H99</f>
        <v>0</v>
      </c>
      <c r="I98" s="26" t="e">
        <f t="shared" si="4"/>
        <v>#DIV/0!</v>
      </c>
    </row>
    <row r="99" spans="1:9" s="39" customFormat="1" ht="28.5" hidden="1">
      <c r="A99" s="287" t="s">
        <v>1121</v>
      </c>
      <c r="B99" s="50"/>
      <c r="C99" s="73" t="s">
        <v>1190</v>
      </c>
      <c r="D99" s="73" t="s">
        <v>1140</v>
      </c>
      <c r="E99" s="73" t="s">
        <v>1122</v>
      </c>
      <c r="F99" s="71"/>
      <c r="G99" s="72">
        <f>SUM(G100)</f>
        <v>0</v>
      </c>
      <c r="H99" s="72">
        <f>SUM(H100)</f>
        <v>0</v>
      </c>
      <c r="I99" s="26" t="e">
        <f t="shared" si="4"/>
        <v>#DIV/0!</v>
      </c>
    </row>
    <row r="100" spans="1:9" s="39" customFormat="1" ht="15" hidden="1">
      <c r="A100" s="287" t="s">
        <v>198</v>
      </c>
      <c r="B100" s="50"/>
      <c r="C100" s="73" t="s">
        <v>1190</v>
      </c>
      <c r="D100" s="73" t="s">
        <v>1140</v>
      </c>
      <c r="E100" s="73" t="s">
        <v>1122</v>
      </c>
      <c r="F100" s="71" t="s">
        <v>199</v>
      </c>
      <c r="G100" s="72"/>
      <c r="H100" s="72"/>
      <c r="I100" s="26" t="e">
        <f t="shared" si="4"/>
        <v>#DIV/0!</v>
      </c>
    </row>
    <row r="101" spans="1:9" s="39" customFormat="1" ht="15" hidden="1">
      <c r="A101" s="287"/>
      <c r="B101" s="50"/>
      <c r="C101" s="50"/>
      <c r="D101" s="50"/>
      <c r="E101" s="50"/>
      <c r="F101" s="71"/>
      <c r="G101" s="72"/>
      <c r="H101" s="72"/>
      <c r="I101" s="26" t="e">
        <f t="shared" si="4"/>
        <v>#DIV/0!</v>
      </c>
    </row>
    <row r="102" spans="1:9" s="39" customFormat="1" ht="28.5" hidden="1">
      <c r="A102" s="285" t="s">
        <v>1123</v>
      </c>
      <c r="B102" s="50"/>
      <c r="C102" s="73" t="s">
        <v>1190</v>
      </c>
      <c r="D102" s="73" t="s">
        <v>1140</v>
      </c>
      <c r="E102" s="73" t="s">
        <v>1124</v>
      </c>
      <c r="F102" s="71"/>
      <c r="G102" s="72">
        <f>SUM(G103+G105)</f>
        <v>0</v>
      </c>
      <c r="H102" s="72">
        <f>SUM(H103+H105)</f>
        <v>0</v>
      </c>
      <c r="I102" s="26" t="e">
        <f t="shared" si="4"/>
        <v>#DIV/0!</v>
      </c>
    </row>
    <row r="103" spans="1:9" s="39" customFormat="1" ht="28.5" hidden="1">
      <c r="A103" s="287" t="s">
        <v>1125</v>
      </c>
      <c r="B103" s="74"/>
      <c r="C103" s="73" t="s">
        <v>1190</v>
      </c>
      <c r="D103" s="73" t="s">
        <v>1140</v>
      </c>
      <c r="E103" s="73" t="s">
        <v>1126</v>
      </c>
      <c r="F103" s="71"/>
      <c r="G103" s="72">
        <f>SUM(G104)</f>
        <v>0</v>
      </c>
      <c r="H103" s="72">
        <f>SUM(H104)</f>
        <v>0</v>
      </c>
      <c r="I103" s="26" t="e">
        <f t="shared" si="4"/>
        <v>#DIV/0!</v>
      </c>
    </row>
    <row r="104" spans="1:9" s="39" customFormat="1" ht="15" hidden="1">
      <c r="A104" s="291" t="s">
        <v>198</v>
      </c>
      <c r="B104" s="50"/>
      <c r="C104" s="73" t="s">
        <v>1190</v>
      </c>
      <c r="D104" s="73" t="s">
        <v>1140</v>
      </c>
      <c r="E104" s="73" t="s">
        <v>1126</v>
      </c>
      <c r="F104" s="55" t="s">
        <v>199</v>
      </c>
      <c r="G104" s="26"/>
      <c r="H104" s="26"/>
      <c r="I104" s="26" t="e">
        <f t="shared" si="4"/>
        <v>#DIV/0!</v>
      </c>
    </row>
    <row r="105" spans="1:9" s="39" customFormat="1" ht="15" hidden="1">
      <c r="A105" s="291" t="s">
        <v>1127</v>
      </c>
      <c r="B105" s="50"/>
      <c r="C105" s="73" t="s">
        <v>1190</v>
      </c>
      <c r="D105" s="73" t="s">
        <v>1140</v>
      </c>
      <c r="E105" s="73" t="s">
        <v>1128</v>
      </c>
      <c r="F105" s="55"/>
      <c r="G105" s="26">
        <f>SUM(G106)</f>
        <v>0</v>
      </c>
      <c r="H105" s="26">
        <f>SUM(H106)</f>
        <v>0</v>
      </c>
      <c r="I105" s="26" t="e">
        <f t="shared" si="4"/>
        <v>#DIV/0!</v>
      </c>
    </row>
    <row r="106" spans="1:9" s="39" customFormat="1" ht="15" hidden="1">
      <c r="A106" s="285" t="s">
        <v>1147</v>
      </c>
      <c r="B106" s="69"/>
      <c r="C106" s="24" t="s">
        <v>1190</v>
      </c>
      <c r="D106" s="24" t="s">
        <v>1140</v>
      </c>
      <c r="E106" s="73" t="s">
        <v>1128</v>
      </c>
      <c r="F106" s="55" t="s">
        <v>1148</v>
      </c>
      <c r="G106" s="26"/>
      <c r="H106" s="26"/>
      <c r="I106" s="26" t="e">
        <f t="shared" si="4"/>
        <v>#DIV/0!</v>
      </c>
    </row>
    <row r="107" spans="1:9" s="39" customFormat="1" ht="28.5" hidden="1">
      <c r="A107" s="285" t="s">
        <v>1129</v>
      </c>
      <c r="B107" s="69"/>
      <c r="C107" s="24" t="s">
        <v>1190</v>
      </c>
      <c r="D107" s="24" t="s">
        <v>1140</v>
      </c>
      <c r="E107" s="51" t="s">
        <v>1130</v>
      </c>
      <c r="F107" s="55"/>
      <c r="G107" s="26"/>
      <c r="H107" s="26"/>
      <c r="I107" s="26" t="e">
        <f t="shared" si="4"/>
        <v>#DIV/0!</v>
      </c>
    </row>
    <row r="108" spans="1:9" s="39" customFormat="1" ht="28.5" hidden="1">
      <c r="A108" s="285" t="s">
        <v>457</v>
      </c>
      <c r="B108" s="69"/>
      <c r="C108" s="24" t="s">
        <v>1190</v>
      </c>
      <c r="D108" s="24" t="s">
        <v>1140</v>
      </c>
      <c r="E108" s="51" t="s">
        <v>458</v>
      </c>
      <c r="F108" s="55"/>
      <c r="G108" s="26">
        <f>SUM(G109)</f>
        <v>0</v>
      </c>
      <c r="H108" s="26">
        <f>SUM(H109)</f>
        <v>0</v>
      </c>
      <c r="I108" s="26" t="e">
        <f t="shared" si="4"/>
        <v>#DIV/0!</v>
      </c>
    </row>
    <row r="109" spans="1:9" s="39" customFormat="1" ht="15" hidden="1">
      <c r="A109" s="285" t="s">
        <v>1001</v>
      </c>
      <c r="B109" s="69"/>
      <c r="C109" s="24" t="s">
        <v>1190</v>
      </c>
      <c r="D109" s="24" t="s">
        <v>1140</v>
      </c>
      <c r="E109" s="73" t="s">
        <v>458</v>
      </c>
      <c r="F109" s="55" t="s">
        <v>1002</v>
      </c>
      <c r="G109" s="26"/>
      <c r="H109" s="26"/>
      <c r="I109" s="26" t="e">
        <f t="shared" si="4"/>
        <v>#DIV/0!</v>
      </c>
    </row>
    <row r="110" spans="1:9" s="39" customFormat="1" ht="28.5" hidden="1">
      <c r="A110" s="285" t="s">
        <v>459</v>
      </c>
      <c r="B110" s="69"/>
      <c r="C110" s="24" t="s">
        <v>1190</v>
      </c>
      <c r="D110" s="24" t="s">
        <v>1140</v>
      </c>
      <c r="E110" s="51" t="s">
        <v>460</v>
      </c>
      <c r="F110" s="55"/>
      <c r="G110" s="26">
        <f>SUM(G111)</f>
        <v>0</v>
      </c>
      <c r="H110" s="26">
        <f>SUM(H111)</f>
        <v>0</v>
      </c>
      <c r="I110" s="26" t="e">
        <f t="shared" si="4"/>
        <v>#DIV/0!</v>
      </c>
    </row>
    <row r="111" spans="1:9" s="39" customFormat="1" ht="15" hidden="1">
      <c r="A111" s="285" t="s">
        <v>1001</v>
      </c>
      <c r="B111" s="69"/>
      <c r="C111" s="24" t="s">
        <v>1190</v>
      </c>
      <c r="D111" s="24" t="s">
        <v>1140</v>
      </c>
      <c r="E111" s="73" t="s">
        <v>460</v>
      </c>
      <c r="F111" s="55" t="s">
        <v>1002</v>
      </c>
      <c r="G111" s="26"/>
      <c r="H111" s="26"/>
      <c r="I111" s="26" t="e">
        <f t="shared" si="4"/>
        <v>#DIV/0!</v>
      </c>
    </row>
    <row r="112" spans="1:9" s="39" customFormat="1" ht="15" hidden="1">
      <c r="A112" s="285" t="s">
        <v>1115</v>
      </c>
      <c r="B112" s="69"/>
      <c r="C112" s="24" t="s">
        <v>1190</v>
      </c>
      <c r="D112" s="24" t="s">
        <v>1140</v>
      </c>
      <c r="E112" s="73" t="s">
        <v>1116</v>
      </c>
      <c r="F112" s="55"/>
      <c r="G112" s="26">
        <f>SUM(G113)</f>
        <v>0</v>
      </c>
      <c r="H112" s="26"/>
      <c r="I112" s="26"/>
    </row>
    <row r="113" spans="1:9" s="39" customFormat="1" ht="28.5" hidden="1">
      <c r="A113" s="285" t="s">
        <v>908</v>
      </c>
      <c r="B113" s="69"/>
      <c r="C113" s="24" t="s">
        <v>1190</v>
      </c>
      <c r="D113" s="24" t="s">
        <v>1140</v>
      </c>
      <c r="E113" s="51" t="s">
        <v>1120</v>
      </c>
      <c r="F113" s="55"/>
      <c r="G113" s="26">
        <f>SUM(G114)</f>
        <v>0</v>
      </c>
      <c r="H113" s="26"/>
      <c r="I113" s="26"/>
    </row>
    <row r="114" spans="1:9" s="39" customFormat="1" ht="15" hidden="1">
      <c r="A114" s="285" t="s">
        <v>1147</v>
      </c>
      <c r="B114" s="69"/>
      <c r="C114" s="24" t="s">
        <v>1190</v>
      </c>
      <c r="D114" s="24" t="s">
        <v>1140</v>
      </c>
      <c r="E114" s="51" t="s">
        <v>1120</v>
      </c>
      <c r="F114" s="52" t="s">
        <v>1148</v>
      </c>
      <c r="G114" s="26"/>
      <c r="H114" s="26"/>
      <c r="I114" s="26"/>
    </row>
    <row r="115" spans="1:9" s="39" customFormat="1" ht="15">
      <c r="A115" s="342" t="s">
        <v>1186</v>
      </c>
      <c r="B115" s="50"/>
      <c r="C115" s="50" t="s">
        <v>1190</v>
      </c>
      <c r="D115" s="50" t="s">
        <v>1140</v>
      </c>
      <c r="E115" s="50" t="s">
        <v>1187</v>
      </c>
      <c r="F115" s="55"/>
      <c r="G115" s="26">
        <f>SUM(G116+G118)+G121</f>
        <v>66.1</v>
      </c>
      <c r="H115" s="26">
        <f>SUM(H116+H118)+H121</f>
        <v>278.1</v>
      </c>
      <c r="I115" s="26">
        <f aca="true" t="shared" si="5" ref="I115:I155">SUM(H115/G115*100)</f>
        <v>420.72617246596076</v>
      </c>
    </row>
    <row r="116" spans="1:9" s="39" customFormat="1" ht="42.75">
      <c r="A116" s="342" t="s">
        <v>964</v>
      </c>
      <c r="B116" s="50"/>
      <c r="C116" s="50" t="s">
        <v>1190</v>
      </c>
      <c r="D116" s="50" t="s">
        <v>1140</v>
      </c>
      <c r="E116" s="50" t="s">
        <v>965</v>
      </c>
      <c r="F116" s="55"/>
      <c r="G116" s="75">
        <f>SUM(G117:G117)</f>
        <v>66.1</v>
      </c>
      <c r="H116" s="75">
        <f>SUM(H117:H117)</f>
        <v>0</v>
      </c>
      <c r="I116" s="26">
        <f t="shared" si="5"/>
        <v>0</v>
      </c>
    </row>
    <row r="117" spans="1:9" s="39" customFormat="1" ht="18" customHeight="1">
      <c r="A117" s="285" t="s">
        <v>1001</v>
      </c>
      <c r="B117" s="50"/>
      <c r="C117" s="50" t="s">
        <v>1190</v>
      </c>
      <c r="D117" s="50" t="s">
        <v>1140</v>
      </c>
      <c r="E117" s="50" t="s">
        <v>965</v>
      </c>
      <c r="F117" s="55" t="s">
        <v>1002</v>
      </c>
      <c r="G117" s="75">
        <v>66.1</v>
      </c>
      <c r="H117" s="75"/>
      <c r="I117" s="26">
        <f t="shared" si="5"/>
        <v>0</v>
      </c>
    </row>
    <row r="118" spans="1:9" s="70" customFormat="1" ht="15" hidden="1">
      <c r="A118" s="342" t="s">
        <v>198</v>
      </c>
      <c r="B118" s="50"/>
      <c r="C118" s="50" t="s">
        <v>1190</v>
      </c>
      <c r="D118" s="50" t="s">
        <v>1140</v>
      </c>
      <c r="E118" s="50" t="s">
        <v>1187</v>
      </c>
      <c r="F118" s="55" t="s">
        <v>199</v>
      </c>
      <c r="G118" s="54">
        <f>SUM(G119)</f>
        <v>0</v>
      </c>
      <c r="H118" s="54">
        <f>SUM(H119)</f>
        <v>167.7</v>
      </c>
      <c r="I118" s="26" t="e">
        <f t="shared" si="5"/>
        <v>#DIV/0!</v>
      </c>
    </row>
    <row r="119" spans="1:9" ht="28.5" hidden="1">
      <c r="A119" s="291" t="s">
        <v>465</v>
      </c>
      <c r="B119" s="50"/>
      <c r="C119" s="51" t="s">
        <v>1190</v>
      </c>
      <c r="D119" s="51" t="s">
        <v>1140</v>
      </c>
      <c r="E119" s="51" t="s">
        <v>466</v>
      </c>
      <c r="F119" s="52" t="s">
        <v>199</v>
      </c>
      <c r="G119" s="26">
        <f>SUM(G120)</f>
        <v>0</v>
      </c>
      <c r="H119" s="26">
        <f>SUM(H120)</f>
        <v>167.7</v>
      </c>
      <c r="I119" s="26" t="e">
        <f t="shared" si="5"/>
        <v>#DIV/0!</v>
      </c>
    </row>
    <row r="120" spans="1:9" s="39" customFormat="1" ht="28.5" hidden="1">
      <c r="A120" s="287" t="s">
        <v>1125</v>
      </c>
      <c r="B120" s="50"/>
      <c r="C120" s="51" t="s">
        <v>1190</v>
      </c>
      <c r="D120" s="51" t="s">
        <v>1140</v>
      </c>
      <c r="E120" s="51" t="s">
        <v>467</v>
      </c>
      <c r="F120" s="52" t="s">
        <v>199</v>
      </c>
      <c r="G120" s="26"/>
      <c r="H120" s="26">
        <v>167.7</v>
      </c>
      <c r="I120" s="26" t="e">
        <f t="shared" si="5"/>
        <v>#DIV/0!</v>
      </c>
    </row>
    <row r="121" spans="1:9" s="39" customFormat="1" ht="28.5" hidden="1">
      <c r="A121" s="296" t="s">
        <v>468</v>
      </c>
      <c r="B121" s="50"/>
      <c r="C121" s="51" t="s">
        <v>1190</v>
      </c>
      <c r="D121" s="51" t="s">
        <v>1140</v>
      </c>
      <c r="E121" s="51" t="s">
        <v>469</v>
      </c>
      <c r="F121" s="52"/>
      <c r="G121" s="26">
        <f>SUM(G122)</f>
        <v>0</v>
      </c>
      <c r="H121" s="26">
        <f>SUM(H122)</f>
        <v>110.4</v>
      </c>
      <c r="I121" s="26" t="e">
        <f t="shared" si="5"/>
        <v>#DIV/0!</v>
      </c>
    </row>
    <row r="122" spans="1:9" s="39" customFormat="1" ht="15" hidden="1">
      <c r="A122" s="342" t="s">
        <v>198</v>
      </c>
      <c r="B122" s="50"/>
      <c r="C122" s="51" t="s">
        <v>1190</v>
      </c>
      <c r="D122" s="51" t="s">
        <v>1140</v>
      </c>
      <c r="E122" s="51" t="s">
        <v>469</v>
      </c>
      <c r="F122" s="52" t="s">
        <v>199</v>
      </c>
      <c r="G122" s="26"/>
      <c r="H122" s="26">
        <v>110.4</v>
      </c>
      <c r="I122" s="26" t="e">
        <f t="shared" si="5"/>
        <v>#DIV/0!</v>
      </c>
    </row>
    <row r="123" spans="1:9" ht="20.25" customHeight="1">
      <c r="A123" s="291" t="s">
        <v>470</v>
      </c>
      <c r="B123" s="36"/>
      <c r="C123" s="37" t="s">
        <v>1190</v>
      </c>
      <c r="D123" s="37" t="s">
        <v>1142</v>
      </c>
      <c r="E123" s="37"/>
      <c r="F123" s="28"/>
      <c r="G123" s="26">
        <f>SUM(G130+G143)+G124+G139+G127</f>
        <v>3054</v>
      </c>
      <c r="H123" s="26">
        <f>SUM(H130+H143)+H124+H139+H127</f>
        <v>24530.6</v>
      </c>
      <c r="I123" s="26">
        <f t="shared" si="5"/>
        <v>803.2285527177471</v>
      </c>
    </row>
    <row r="124" spans="1:9" ht="18" customHeight="1" hidden="1">
      <c r="A124" s="285" t="s">
        <v>660</v>
      </c>
      <c r="B124" s="23"/>
      <c r="C124" s="37" t="s">
        <v>1190</v>
      </c>
      <c r="D124" s="37" t="s">
        <v>1142</v>
      </c>
      <c r="E124" s="37" t="s">
        <v>662</v>
      </c>
      <c r="F124" s="28"/>
      <c r="G124" s="26">
        <f>SUM(G125)</f>
        <v>0</v>
      </c>
      <c r="H124" s="26">
        <f>SUM(H125)</f>
        <v>0</v>
      </c>
      <c r="I124" s="26" t="e">
        <f t="shared" si="5"/>
        <v>#DIV/0!</v>
      </c>
    </row>
    <row r="125" spans="1:9" ht="15.75" customHeight="1" hidden="1">
      <c r="A125" s="285" t="s">
        <v>638</v>
      </c>
      <c r="B125" s="23"/>
      <c r="C125" s="37" t="s">
        <v>1190</v>
      </c>
      <c r="D125" s="37" t="s">
        <v>1142</v>
      </c>
      <c r="E125" s="37" t="s">
        <v>639</v>
      </c>
      <c r="F125" s="25"/>
      <c r="G125" s="26">
        <f>SUM(G126)</f>
        <v>0</v>
      </c>
      <c r="H125" s="26">
        <f>SUM(H126)</f>
        <v>0</v>
      </c>
      <c r="I125" s="26" t="e">
        <f t="shared" si="5"/>
        <v>#DIV/0!</v>
      </c>
    </row>
    <row r="126" spans="1:9" ht="15.75" customHeight="1" hidden="1">
      <c r="A126" s="285" t="s">
        <v>1147</v>
      </c>
      <c r="B126" s="23"/>
      <c r="C126" s="37" t="s">
        <v>1190</v>
      </c>
      <c r="D126" s="37" t="s">
        <v>1142</v>
      </c>
      <c r="E126" s="37" t="s">
        <v>639</v>
      </c>
      <c r="F126" s="25" t="s">
        <v>1148</v>
      </c>
      <c r="G126" s="26"/>
      <c r="H126" s="26"/>
      <c r="I126" s="26" t="e">
        <f t="shared" si="5"/>
        <v>#DIV/0!</v>
      </c>
    </row>
    <row r="127" spans="1:9" ht="27.75" customHeight="1" hidden="1">
      <c r="A127" s="285" t="s">
        <v>932</v>
      </c>
      <c r="B127" s="23"/>
      <c r="C127" s="37" t="s">
        <v>1190</v>
      </c>
      <c r="D127" s="37" t="s">
        <v>1142</v>
      </c>
      <c r="E127" s="37" t="s">
        <v>933</v>
      </c>
      <c r="F127" s="25"/>
      <c r="G127" s="26">
        <f>SUM(G128)</f>
        <v>0</v>
      </c>
      <c r="H127" s="26">
        <f>SUM(H128)</f>
        <v>9483.6</v>
      </c>
      <c r="I127" s="26" t="e">
        <f t="shared" si="5"/>
        <v>#DIV/0!</v>
      </c>
    </row>
    <row r="128" spans="1:9" ht="33" customHeight="1" hidden="1">
      <c r="A128" s="285" t="s">
        <v>934</v>
      </c>
      <c r="B128" s="23"/>
      <c r="C128" s="37" t="s">
        <v>1190</v>
      </c>
      <c r="D128" s="37" t="s">
        <v>1142</v>
      </c>
      <c r="E128" s="37" t="s">
        <v>935</v>
      </c>
      <c r="F128" s="25"/>
      <c r="G128" s="26">
        <f>SUM(G129)</f>
        <v>0</v>
      </c>
      <c r="H128" s="26">
        <f>SUM(H129)</f>
        <v>9483.6</v>
      </c>
      <c r="I128" s="26" t="e">
        <f t="shared" si="5"/>
        <v>#DIV/0!</v>
      </c>
    </row>
    <row r="129" spans="1:9" ht="15.75" customHeight="1" hidden="1">
      <c r="A129" s="285" t="s">
        <v>1001</v>
      </c>
      <c r="B129" s="23"/>
      <c r="C129" s="37" t="s">
        <v>1190</v>
      </c>
      <c r="D129" s="37" t="s">
        <v>1142</v>
      </c>
      <c r="E129" s="37" t="s">
        <v>935</v>
      </c>
      <c r="F129" s="25" t="s">
        <v>1002</v>
      </c>
      <c r="G129" s="26"/>
      <c r="H129" s="26">
        <v>9483.6</v>
      </c>
      <c r="I129" s="26" t="e">
        <f t="shared" si="5"/>
        <v>#DIV/0!</v>
      </c>
    </row>
    <row r="130" spans="1:9" ht="18" customHeight="1">
      <c r="A130" s="292" t="s">
        <v>936</v>
      </c>
      <c r="B130" s="36"/>
      <c r="C130" s="37" t="s">
        <v>1190</v>
      </c>
      <c r="D130" s="37" t="s">
        <v>1142</v>
      </c>
      <c r="E130" s="37" t="s">
        <v>472</v>
      </c>
      <c r="F130" s="28"/>
      <c r="G130" s="26">
        <f>SUM(G131+G133+G135)</f>
        <v>3054</v>
      </c>
      <c r="H130" s="26">
        <f>SUM(H131+H133+H135)</f>
        <v>15047</v>
      </c>
      <c r="I130" s="26">
        <f t="shared" si="5"/>
        <v>492.69810085134253</v>
      </c>
    </row>
    <row r="131" spans="1:9" ht="42.75" hidden="1">
      <c r="A131" s="342" t="s">
        <v>937</v>
      </c>
      <c r="B131" s="36"/>
      <c r="C131" s="37" t="s">
        <v>1190</v>
      </c>
      <c r="D131" s="37" t="s">
        <v>1142</v>
      </c>
      <c r="E131" s="37" t="s">
        <v>938</v>
      </c>
      <c r="F131" s="28"/>
      <c r="G131" s="26">
        <f>SUM(G132)</f>
        <v>0</v>
      </c>
      <c r="H131" s="26">
        <f>SUM(H132)</f>
        <v>0</v>
      </c>
      <c r="I131" s="26" t="e">
        <f t="shared" si="5"/>
        <v>#DIV/0!</v>
      </c>
    </row>
    <row r="132" spans="1:9" s="82" customFormat="1" ht="15" hidden="1">
      <c r="A132" s="285" t="s">
        <v>1001</v>
      </c>
      <c r="B132" s="23"/>
      <c r="C132" s="24" t="s">
        <v>1190</v>
      </c>
      <c r="D132" s="37" t="s">
        <v>1142</v>
      </c>
      <c r="E132" s="37" t="s">
        <v>938</v>
      </c>
      <c r="F132" s="25" t="s">
        <v>1002</v>
      </c>
      <c r="G132" s="26"/>
      <c r="H132" s="26"/>
      <c r="I132" s="26" t="e">
        <f t="shared" si="5"/>
        <v>#DIV/0!</v>
      </c>
    </row>
    <row r="133" spans="1:9" ht="42.75" hidden="1">
      <c r="A133" s="342" t="s">
        <v>441</v>
      </c>
      <c r="B133" s="23"/>
      <c r="C133" s="37" t="s">
        <v>1190</v>
      </c>
      <c r="D133" s="37" t="s">
        <v>1142</v>
      </c>
      <c r="E133" s="37" t="s">
        <v>442</v>
      </c>
      <c r="F133" s="25"/>
      <c r="G133" s="26">
        <f>SUM(G134)</f>
        <v>0</v>
      </c>
      <c r="H133" s="26">
        <f>SUM(H134)</f>
        <v>0</v>
      </c>
      <c r="I133" s="26" t="e">
        <f t="shared" si="5"/>
        <v>#DIV/0!</v>
      </c>
    </row>
    <row r="134" spans="1:9" s="82" customFormat="1" ht="20.25" customHeight="1" hidden="1">
      <c r="A134" s="285" t="s">
        <v>1001</v>
      </c>
      <c r="B134" s="23"/>
      <c r="C134" s="37" t="s">
        <v>1190</v>
      </c>
      <c r="D134" s="37" t="s">
        <v>1142</v>
      </c>
      <c r="E134" s="37" t="s">
        <v>442</v>
      </c>
      <c r="F134" s="25" t="s">
        <v>1002</v>
      </c>
      <c r="G134" s="26"/>
      <c r="H134" s="26"/>
      <c r="I134" s="26" t="e">
        <f t="shared" si="5"/>
        <v>#DIV/0!</v>
      </c>
    </row>
    <row r="135" spans="1:9" ht="20.25" customHeight="1">
      <c r="A135" s="287" t="s">
        <v>443</v>
      </c>
      <c r="B135" s="36"/>
      <c r="C135" s="37" t="s">
        <v>1190</v>
      </c>
      <c r="D135" s="37" t="s">
        <v>1142</v>
      </c>
      <c r="E135" s="37" t="s">
        <v>444</v>
      </c>
      <c r="F135" s="28"/>
      <c r="G135" s="26">
        <f>SUM(G136:G137)+G138</f>
        <v>3054</v>
      </c>
      <c r="H135" s="26">
        <f>SUM(H136:H137)</f>
        <v>15047</v>
      </c>
      <c r="I135" s="26">
        <f t="shared" si="5"/>
        <v>492.69810085134253</v>
      </c>
    </row>
    <row r="136" spans="1:9" ht="15" customHeight="1" hidden="1">
      <c r="A136" s="285" t="s">
        <v>1001</v>
      </c>
      <c r="B136" s="36"/>
      <c r="C136" s="37" t="s">
        <v>1190</v>
      </c>
      <c r="D136" s="37" t="s">
        <v>1142</v>
      </c>
      <c r="E136" s="37" t="s">
        <v>444</v>
      </c>
      <c r="F136" s="25" t="s">
        <v>1002</v>
      </c>
      <c r="G136" s="54"/>
      <c r="H136" s="54">
        <f>878+4272.1+2990.6</f>
        <v>8140.700000000001</v>
      </c>
      <c r="I136" s="26" t="e">
        <f t="shared" si="5"/>
        <v>#DIV/0!</v>
      </c>
    </row>
    <row r="137" spans="1:9" ht="27" customHeight="1" hidden="1">
      <c r="A137" s="285" t="s">
        <v>1001</v>
      </c>
      <c r="B137" s="36"/>
      <c r="C137" s="37" t="s">
        <v>1190</v>
      </c>
      <c r="D137" s="37" t="s">
        <v>1142</v>
      </c>
      <c r="E137" s="37" t="s">
        <v>444</v>
      </c>
      <c r="F137" s="25" t="s">
        <v>1002</v>
      </c>
      <c r="G137" s="54"/>
      <c r="H137" s="54">
        <v>6906.3</v>
      </c>
      <c r="I137" s="26" t="e">
        <f t="shared" si="5"/>
        <v>#DIV/0!</v>
      </c>
    </row>
    <row r="138" spans="1:9" ht="27" customHeight="1">
      <c r="A138" s="285" t="s">
        <v>1147</v>
      </c>
      <c r="B138" s="36"/>
      <c r="C138" s="37" t="s">
        <v>1190</v>
      </c>
      <c r="D138" s="37" t="s">
        <v>1142</v>
      </c>
      <c r="E138" s="37" t="s">
        <v>444</v>
      </c>
      <c r="F138" s="25" t="s">
        <v>1148</v>
      </c>
      <c r="G138" s="54">
        <v>3054</v>
      </c>
      <c r="H138" s="54"/>
      <c r="I138" s="26"/>
    </row>
    <row r="139" spans="1:9" ht="17.25" customHeight="1" hidden="1">
      <c r="A139" s="287" t="s">
        <v>990</v>
      </c>
      <c r="B139" s="50"/>
      <c r="C139" s="37" t="s">
        <v>1190</v>
      </c>
      <c r="D139" s="37" t="s">
        <v>1142</v>
      </c>
      <c r="E139" s="51" t="s">
        <v>991</v>
      </c>
      <c r="F139" s="28"/>
      <c r="G139" s="54">
        <f aca="true" t="shared" si="6" ref="G139:H141">SUM(G140)</f>
        <v>0</v>
      </c>
      <c r="H139" s="54">
        <f t="shared" si="6"/>
        <v>0</v>
      </c>
      <c r="I139" s="26" t="e">
        <f t="shared" si="5"/>
        <v>#DIV/0!</v>
      </c>
    </row>
    <row r="140" spans="1:9" ht="15.75" customHeight="1" hidden="1">
      <c r="A140" s="285" t="s">
        <v>1123</v>
      </c>
      <c r="B140" s="50"/>
      <c r="C140" s="37" t="s">
        <v>1190</v>
      </c>
      <c r="D140" s="37" t="s">
        <v>1142</v>
      </c>
      <c r="E140" s="51" t="s">
        <v>1124</v>
      </c>
      <c r="F140" s="28"/>
      <c r="G140" s="54">
        <f t="shared" si="6"/>
        <v>0</v>
      </c>
      <c r="H140" s="54">
        <f t="shared" si="6"/>
        <v>0</v>
      </c>
      <c r="I140" s="26" t="e">
        <f t="shared" si="5"/>
        <v>#DIV/0!</v>
      </c>
    </row>
    <row r="141" spans="1:9" ht="13.5" customHeight="1" hidden="1">
      <c r="A141" s="287" t="s">
        <v>445</v>
      </c>
      <c r="B141" s="23"/>
      <c r="C141" s="37" t="s">
        <v>1190</v>
      </c>
      <c r="D141" s="37" t="s">
        <v>1142</v>
      </c>
      <c r="E141" s="51" t="s">
        <v>446</v>
      </c>
      <c r="F141" s="28"/>
      <c r="G141" s="54">
        <f t="shared" si="6"/>
        <v>0</v>
      </c>
      <c r="H141" s="54">
        <f t="shared" si="6"/>
        <v>0</v>
      </c>
      <c r="I141" s="26" t="e">
        <f t="shared" si="5"/>
        <v>#DIV/0!</v>
      </c>
    </row>
    <row r="142" spans="1:9" ht="28.5" customHeight="1" hidden="1">
      <c r="A142" s="285" t="s">
        <v>1147</v>
      </c>
      <c r="B142" s="36"/>
      <c r="C142" s="37" t="s">
        <v>1190</v>
      </c>
      <c r="D142" s="37" t="s">
        <v>1142</v>
      </c>
      <c r="E142" s="51" t="s">
        <v>446</v>
      </c>
      <c r="F142" s="25" t="s">
        <v>1148</v>
      </c>
      <c r="G142" s="54"/>
      <c r="H142" s="54"/>
      <c r="I142" s="26" t="e">
        <f t="shared" si="5"/>
        <v>#DIV/0!</v>
      </c>
    </row>
    <row r="143" spans="1:9" ht="15" hidden="1">
      <c r="A143" s="342" t="s">
        <v>1186</v>
      </c>
      <c r="B143" s="77"/>
      <c r="C143" s="50" t="s">
        <v>1190</v>
      </c>
      <c r="D143" s="50" t="s">
        <v>1142</v>
      </c>
      <c r="E143" s="50" t="s">
        <v>1187</v>
      </c>
      <c r="F143" s="55"/>
      <c r="G143" s="54">
        <f>SUM(G144)</f>
        <v>0</v>
      </c>
      <c r="H143" s="54">
        <f>SUM(H144)</f>
        <v>0</v>
      </c>
      <c r="I143" s="26" t="e">
        <f t="shared" si="5"/>
        <v>#DIV/0!</v>
      </c>
    </row>
    <row r="144" spans="1:9" s="85" customFormat="1" ht="42.75" hidden="1">
      <c r="A144" s="297" t="s">
        <v>964</v>
      </c>
      <c r="B144" s="77"/>
      <c r="C144" s="51" t="s">
        <v>1190</v>
      </c>
      <c r="D144" s="51" t="s">
        <v>1142</v>
      </c>
      <c r="E144" s="51" t="s">
        <v>965</v>
      </c>
      <c r="F144" s="25"/>
      <c r="G144" s="54">
        <f>SUM(G145)+G146+G148+G147</f>
        <v>0</v>
      </c>
      <c r="H144" s="54">
        <f>SUM(H145)+H146+H148</f>
        <v>0</v>
      </c>
      <c r="I144" s="26" t="e">
        <f t="shared" si="5"/>
        <v>#DIV/0!</v>
      </c>
    </row>
    <row r="145" spans="1:9" ht="28.5" hidden="1">
      <c r="A145" s="285" t="s">
        <v>447</v>
      </c>
      <c r="B145" s="77"/>
      <c r="C145" s="51" t="s">
        <v>1190</v>
      </c>
      <c r="D145" s="51" t="s">
        <v>1142</v>
      </c>
      <c r="E145" s="51" t="s">
        <v>448</v>
      </c>
      <c r="F145" s="25" t="s">
        <v>1148</v>
      </c>
      <c r="G145" s="54">
        <f>600-600</f>
        <v>0</v>
      </c>
      <c r="H145" s="54">
        <f>600-600</f>
        <v>0</v>
      </c>
      <c r="I145" s="26" t="e">
        <f t="shared" si="5"/>
        <v>#DIV/0!</v>
      </c>
    </row>
    <row r="146" spans="1:9" ht="28.5" hidden="1">
      <c r="A146" s="342" t="s">
        <v>449</v>
      </c>
      <c r="B146" s="77"/>
      <c r="C146" s="51" t="s">
        <v>1190</v>
      </c>
      <c r="D146" s="51" t="s">
        <v>1142</v>
      </c>
      <c r="E146" s="51" t="s">
        <v>450</v>
      </c>
      <c r="F146" s="25" t="s">
        <v>1148</v>
      </c>
      <c r="G146" s="54">
        <f>900-900</f>
        <v>0</v>
      </c>
      <c r="H146" s="54">
        <f>900-900</f>
        <v>0</v>
      </c>
      <c r="I146" s="26" t="e">
        <f t="shared" si="5"/>
        <v>#DIV/0!</v>
      </c>
    </row>
    <row r="147" spans="1:9" ht="15" hidden="1">
      <c r="A147" s="285" t="s">
        <v>1147</v>
      </c>
      <c r="B147" s="77"/>
      <c r="C147" s="51" t="s">
        <v>1190</v>
      </c>
      <c r="D147" s="51" t="s">
        <v>1142</v>
      </c>
      <c r="E147" s="51" t="s">
        <v>965</v>
      </c>
      <c r="F147" s="25" t="s">
        <v>1148</v>
      </c>
      <c r="G147" s="54">
        <f>5825.2-5825.2</f>
        <v>0</v>
      </c>
      <c r="H147" s="54"/>
      <c r="I147" s="26" t="e">
        <f t="shared" si="5"/>
        <v>#DIV/0!</v>
      </c>
    </row>
    <row r="148" spans="1:9" ht="28.5" hidden="1">
      <c r="A148" s="296" t="s">
        <v>453</v>
      </c>
      <c r="B148" s="77"/>
      <c r="C148" s="51" t="s">
        <v>1190</v>
      </c>
      <c r="D148" s="51" t="s">
        <v>1142</v>
      </c>
      <c r="E148" s="51" t="s">
        <v>454</v>
      </c>
      <c r="F148" s="25"/>
      <c r="G148" s="54">
        <f>SUM(G149)</f>
        <v>0</v>
      </c>
      <c r="H148" s="54">
        <f>SUM(H149)</f>
        <v>0</v>
      </c>
      <c r="I148" s="26" t="e">
        <f t="shared" si="5"/>
        <v>#DIV/0!</v>
      </c>
    </row>
    <row r="149" spans="1:9" ht="15" hidden="1">
      <c r="A149" s="342" t="s">
        <v>445</v>
      </c>
      <c r="B149" s="77"/>
      <c r="C149" s="51" t="s">
        <v>1190</v>
      </c>
      <c r="D149" s="51" t="s">
        <v>1142</v>
      </c>
      <c r="E149" s="51" t="s">
        <v>455</v>
      </c>
      <c r="F149" s="25"/>
      <c r="G149" s="54">
        <f>SUM(G150)</f>
        <v>0</v>
      </c>
      <c r="H149" s="54">
        <f>SUM(H150)</f>
        <v>0</v>
      </c>
      <c r="I149" s="26" t="e">
        <f t="shared" si="5"/>
        <v>#DIV/0!</v>
      </c>
    </row>
    <row r="150" spans="1:9" ht="14.25" customHeight="1" hidden="1">
      <c r="A150" s="285" t="s">
        <v>1147</v>
      </c>
      <c r="B150" s="77"/>
      <c r="C150" s="51" t="s">
        <v>1190</v>
      </c>
      <c r="D150" s="51" t="s">
        <v>1142</v>
      </c>
      <c r="E150" s="51" t="s">
        <v>455</v>
      </c>
      <c r="F150" s="25" t="s">
        <v>1148</v>
      </c>
      <c r="G150" s="54">
        <f>4200.9-4200.9</f>
        <v>0</v>
      </c>
      <c r="H150" s="54">
        <f>4200.9-4200.9</f>
        <v>0</v>
      </c>
      <c r="I150" s="26" t="e">
        <f t="shared" si="5"/>
        <v>#DIV/0!</v>
      </c>
    </row>
    <row r="151" spans="1:9" s="165" customFormat="1" ht="16.5" customHeight="1">
      <c r="A151" s="291" t="s">
        <v>456</v>
      </c>
      <c r="B151" s="36"/>
      <c r="C151" s="37" t="s">
        <v>1190</v>
      </c>
      <c r="D151" s="37" t="s">
        <v>1150</v>
      </c>
      <c r="E151" s="37"/>
      <c r="F151" s="28"/>
      <c r="G151" s="26">
        <f>SUM(G154+G171)+G152</f>
        <v>175693.6</v>
      </c>
      <c r="H151" s="26">
        <f>SUM(H154+H171)+H152</f>
        <v>71482.59999999999</v>
      </c>
      <c r="I151" s="26">
        <f t="shared" si="5"/>
        <v>40.68594416643519</v>
      </c>
    </row>
    <row r="152" spans="1:9" s="97" customFormat="1" ht="76.5" customHeight="1" hidden="1">
      <c r="A152" s="291" t="s">
        <v>294</v>
      </c>
      <c r="B152" s="36"/>
      <c r="C152" s="37" t="s">
        <v>1190</v>
      </c>
      <c r="D152" s="37" t="s">
        <v>1150</v>
      </c>
      <c r="E152" s="37" t="s">
        <v>295</v>
      </c>
      <c r="F152" s="28"/>
      <c r="G152" s="26">
        <f>SUM(G153)</f>
        <v>0</v>
      </c>
      <c r="H152" s="26">
        <f>SUM(H153)</f>
        <v>0</v>
      </c>
      <c r="I152" s="26" t="e">
        <f t="shared" si="5"/>
        <v>#DIV/0!</v>
      </c>
    </row>
    <row r="153" spans="1:9" s="97" customFormat="1" ht="61.5" customHeight="1" hidden="1">
      <c r="A153" s="291" t="s">
        <v>296</v>
      </c>
      <c r="B153" s="36"/>
      <c r="C153" s="37" t="s">
        <v>1190</v>
      </c>
      <c r="D153" s="37" t="s">
        <v>1150</v>
      </c>
      <c r="E153" s="37" t="s">
        <v>295</v>
      </c>
      <c r="F153" s="28" t="s">
        <v>297</v>
      </c>
      <c r="G153" s="26"/>
      <c r="H153" s="26"/>
      <c r="I153" s="26" t="e">
        <f t="shared" si="5"/>
        <v>#DIV/0!</v>
      </c>
    </row>
    <row r="154" spans="1:9" s="97" customFormat="1" ht="18.75" customHeight="1">
      <c r="A154" s="291" t="s">
        <v>456</v>
      </c>
      <c r="B154" s="50"/>
      <c r="C154" s="37" t="s">
        <v>1190</v>
      </c>
      <c r="D154" s="37" t="s">
        <v>1150</v>
      </c>
      <c r="E154" s="51" t="s">
        <v>298</v>
      </c>
      <c r="F154" s="52"/>
      <c r="G154" s="26">
        <f>SUM(G155+G160+G165+G168)+G163+G170</f>
        <v>175693.6</v>
      </c>
      <c r="H154" s="26">
        <f>SUM(H155+H160+H165+H168)+H163</f>
        <v>71087.2</v>
      </c>
      <c r="I154" s="26">
        <f t="shared" si="5"/>
        <v>40.46089328239617</v>
      </c>
    </row>
    <row r="155" spans="1:9" s="97" customFormat="1" ht="15.75" customHeight="1">
      <c r="A155" s="342" t="s">
        <v>299</v>
      </c>
      <c r="B155" s="77"/>
      <c r="C155" s="37" t="s">
        <v>1190</v>
      </c>
      <c r="D155" s="37" t="s">
        <v>1150</v>
      </c>
      <c r="E155" s="51" t="s">
        <v>300</v>
      </c>
      <c r="F155" s="52"/>
      <c r="G155" s="26">
        <f>SUM(G156:G158)</f>
        <v>50403.2</v>
      </c>
      <c r="H155" s="26">
        <f>SUM(H157:H158)</f>
        <v>20816.7</v>
      </c>
      <c r="I155" s="26">
        <f t="shared" si="5"/>
        <v>41.300353945781225</v>
      </c>
    </row>
    <row r="156" spans="1:9" s="97" customFormat="1" ht="15.75" customHeight="1" hidden="1">
      <c r="A156" s="285" t="s">
        <v>1001</v>
      </c>
      <c r="B156" s="77"/>
      <c r="C156" s="37" t="s">
        <v>1190</v>
      </c>
      <c r="D156" s="37" t="s">
        <v>1150</v>
      </c>
      <c r="E156" s="51" t="s">
        <v>300</v>
      </c>
      <c r="F156" s="52" t="s">
        <v>1002</v>
      </c>
      <c r="G156" s="26"/>
      <c r="H156" s="26"/>
      <c r="I156" s="26"/>
    </row>
    <row r="157" spans="1:9" s="97" customFormat="1" ht="15">
      <c r="A157" s="285" t="s">
        <v>1147</v>
      </c>
      <c r="B157" s="77"/>
      <c r="C157" s="37" t="s">
        <v>1190</v>
      </c>
      <c r="D157" s="37" t="s">
        <v>1150</v>
      </c>
      <c r="E157" s="51" t="s">
        <v>300</v>
      </c>
      <c r="F157" s="52" t="s">
        <v>1148</v>
      </c>
      <c r="G157" s="26">
        <v>50403.2</v>
      </c>
      <c r="H157" s="26">
        <v>20816.7</v>
      </c>
      <c r="I157" s="26">
        <f>SUM(H157/G157*100)</f>
        <v>41.300353945781225</v>
      </c>
    </row>
    <row r="158" spans="1:9" s="97" customFormat="1" ht="59.25" customHeight="1" hidden="1">
      <c r="A158" s="285" t="s">
        <v>1182</v>
      </c>
      <c r="B158" s="77"/>
      <c r="C158" s="37" t="s">
        <v>1190</v>
      </c>
      <c r="D158" s="37" t="s">
        <v>1150</v>
      </c>
      <c r="E158" s="51" t="s">
        <v>301</v>
      </c>
      <c r="F158" s="52"/>
      <c r="G158" s="26">
        <f>SUM(G159)</f>
        <v>0</v>
      </c>
      <c r="H158" s="26">
        <f>SUM(H159)</f>
        <v>0</v>
      </c>
      <c r="I158" s="26" t="e">
        <f>SUM(H158/G158*100)</f>
        <v>#DIV/0!</v>
      </c>
    </row>
    <row r="159" spans="1:9" s="97" customFormat="1" ht="15" hidden="1">
      <c r="A159" s="285" t="s">
        <v>1147</v>
      </c>
      <c r="B159" s="77"/>
      <c r="C159" s="37" t="s">
        <v>1190</v>
      </c>
      <c r="D159" s="37" t="s">
        <v>1150</v>
      </c>
      <c r="E159" s="51" t="s">
        <v>301</v>
      </c>
      <c r="F159" s="52" t="s">
        <v>1148</v>
      </c>
      <c r="G159" s="26"/>
      <c r="H159" s="26"/>
      <c r="I159" s="26" t="e">
        <f>SUM(H159/G159*100)</f>
        <v>#DIV/0!</v>
      </c>
    </row>
    <row r="160" spans="1:9" s="97" customFormat="1" ht="36.75" customHeight="1">
      <c r="A160" s="342" t="s">
        <v>390</v>
      </c>
      <c r="B160" s="77"/>
      <c r="C160" s="37" t="s">
        <v>1190</v>
      </c>
      <c r="D160" s="37" t="s">
        <v>1150</v>
      </c>
      <c r="E160" s="51" t="s">
        <v>391</v>
      </c>
      <c r="F160" s="52"/>
      <c r="G160" s="26">
        <f>SUM(G162+G161)</f>
        <v>98604.8</v>
      </c>
      <c r="H160" s="26">
        <f>SUM(H162)</f>
        <v>43097.5</v>
      </c>
      <c r="I160" s="26">
        <f>SUM(H160/G160*100)</f>
        <v>43.707304309729345</v>
      </c>
    </row>
    <row r="161" spans="1:9" s="39" customFormat="1" ht="15">
      <c r="A161" s="285" t="s">
        <v>198</v>
      </c>
      <c r="B161" s="77"/>
      <c r="C161" s="37" t="s">
        <v>1190</v>
      </c>
      <c r="D161" s="37" t="s">
        <v>1150</v>
      </c>
      <c r="E161" s="51" t="s">
        <v>391</v>
      </c>
      <c r="F161" s="52" t="s">
        <v>199</v>
      </c>
      <c r="G161" s="26">
        <v>34423</v>
      </c>
      <c r="H161" s="26"/>
      <c r="I161" s="26"/>
    </row>
    <row r="162" spans="1:9" s="97" customFormat="1" ht="15">
      <c r="A162" s="285" t="s">
        <v>1147</v>
      </c>
      <c r="B162" s="77"/>
      <c r="C162" s="37" t="s">
        <v>1190</v>
      </c>
      <c r="D162" s="37" t="s">
        <v>1150</v>
      </c>
      <c r="E162" s="51" t="s">
        <v>391</v>
      </c>
      <c r="F162" s="52" t="s">
        <v>1148</v>
      </c>
      <c r="G162" s="26">
        <v>64181.8</v>
      </c>
      <c r="H162" s="26">
        <v>43097.5</v>
      </c>
      <c r="I162" s="26">
        <f>SUM(H162/G162*100)</f>
        <v>67.14909834252077</v>
      </c>
    </row>
    <row r="163" spans="1:9" ht="57" hidden="1">
      <c r="A163" s="285" t="s">
        <v>392</v>
      </c>
      <c r="B163" s="77"/>
      <c r="C163" s="37" t="s">
        <v>1190</v>
      </c>
      <c r="D163" s="37" t="s">
        <v>1150</v>
      </c>
      <c r="E163" s="51" t="s">
        <v>393</v>
      </c>
      <c r="F163" s="52"/>
      <c r="G163" s="26">
        <f>SUM(G164)</f>
        <v>0</v>
      </c>
      <c r="H163" s="26">
        <f>SUM(H164)</f>
        <v>482.9</v>
      </c>
      <c r="I163" s="26" t="e">
        <f>SUM(H163/G163*100)</f>
        <v>#DIV/0!</v>
      </c>
    </row>
    <row r="164" spans="1:9" ht="15" hidden="1">
      <c r="A164" s="285" t="s">
        <v>1147</v>
      </c>
      <c r="B164" s="77"/>
      <c r="C164" s="37" t="s">
        <v>1190</v>
      </c>
      <c r="D164" s="37" t="s">
        <v>1150</v>
      </c>
      <c r="E164" s="51" t="s">
        <v>393</v>
      </c>
      <c r="F164" s="52" t="s">
        <v>1148</v>
      </c>
      <c r="G164" s="26"/>
      <c r="H164" s="26">
        <v>482.9</v>
      </c>
      <c r="I164" s="26" t="e">
        <f>SUM(H164/G164*100)</f>
        <v>#DIV/0!</v>
      </c>
    </row>
    <row r="165" spans="1:9" ht="16.5" customHeight="1">
      <c r="A165" s="342" t="s">
        <v>394</v>
      </c>
      <c r="B165" s="77"/>
      <c r="C165" s="37" t="s">
        <v>1190</v>
      </c>
      <c r="D165" s="37" t="s">
        <v>1150</v>
      </c>
      <c r="E165" s="51" t="s">
        <v>395</v>
      </c>
      <c r="F165" s="55"/>
      <c r="G165" s="26">
        <f>SUM(G167+G166)</f>
        <v>1000</v>
      </c>
      <c r="H165" s="26">
        <f>SUM(H167)</f>
        <v>489.8</v>
      </c>
      <c r="I165" s="26">
        <f>SUM(H165/G165*100)</f>
        <v>48.980000000000004</v>
      </c>
    </row>
    <row r="166" spans="1:9" ht="16.5" customHeight="1" hidden="1">
      <c r="A166" s="285" t="s">
        <v>1001</v>
      </c>
      <c r="B166" s="77"/>
      <c r="C166" s="37" t="s">
        <v>1190</v>
      </c>
      <c r="D166" s="37" t="s">
        <v>1150</v>
      </c>
      <c r="E166" s="51" t="s">
        <v>395</v>
      </c>
      <c r="F166" s="55" t="s">
        <v>1002</v>
      </c>
      <c r="G166" s="26"/>
      <c r="H166" s="26"/>
      <c r="I166" s="26"/>
    </row>
    <row r="167" spans="1:9" s="165" customFormat="1" ht="26.25" customHeight="1">
      <c r="A167" s="285" t="s">
        <v>1147</v>
      </c>
      <c r="B167" s="77"/>
      <c r="C167" s="37" t="s">
        <v>1190</v>
      </c>
      <c r="D167" s="37" t="s">
        <v>1150</v>
      </c>
      <c r="E167" s="51" t="s">
        <v>395</v>
      </c>
      <c r="F167" s="52" t="s">
        <v>1148</v>
      </c>
      <c r="G167" s="26">
        <v>1000</v>
      </c>
      <c r="H167" s="26">
        <v>489.8</v>
      </c>
      <c r="I167" s="26">
        <f>SUM(H167/G167*100)</f>
        <v>48.980000000000004</v>
      </c>
    </row>
    <row r="168" spans="1:9" s="165" customFormat="1" ht="15">
      <c r="A168" s="342" t="s">
        <v>436</v>
      </c>
      <c r="B168" s="77"/>
      <c r="C168" s="37" t="s">
        <v>1190</v>
      </c>
      <c r="D168" s="37" t="s">
        <v>1150</v>
      </c>
      <c r="E168" s="51" t="s">
        <v>437</v>
      </c>
      <c r="F168" s="52"/>
      <c r="G168" s="26">
        <f>SUM(G169)</f>
        <v>22505.2</v>
      </c>
      <c r="H168" s="26">
        <f>SUM(H170)</f>
        <v>6200.3</v>
      </c>
      <c r="I168" s="26">
        <f>SUM(H168/G168*100)</f>
        <v>27.550521657216997</v>
      </c>
    </row>
    <row r="169" spans="1:9" s="165" customFormat="1" ht="15">
      <c r="A169" s="285" t="s">
        <v>1147</v>
      </c>
      <c r="B169" s="77"/>
      <c r="C169" s="37" t="s">
        <v>1190</v>
      </c>
      <c r="D169" s="37" t="s">
        <v>1150</v>
      </c>
      <c r="E169" s="51" t="s">
        <v>437</v>
      </c>
      <c r="F169" s="52" t="s">
        <v>1148</v>
      </c>
      <c r="G169" s="26">
        <v>22505.2</v>
      </c>
      <c r="H169" s="26"/>
      <c r="I169" s="26"/>
    </row>
    <row r="170" spans="1:9" s="165" customFormat="1" ht="15">
      <c r="A170" s="285" t="s">
        <v>1016</v>
      </c>
      <c r="B170" s="77"/>
      <c r="C170" s="37" t="s">
        <v>1190</v>
      </c>
      <c r="D170" s="37" t="s">
        <v>1150</v>
      </c>
      <c r="E170" s="51" t="s">
        <v>313</v>
      </c>
      <c r="F170" s="52"/>
      <c r="G170" s="26">
        <f>SUM(G178)</f>
        <v>3180.4</v>
      </c>
      <c r="H170" s="26">
        <v>6200.3</v>
      </c>
      <c r="I170" s="26">
        <f aca="true" t="shared" si="7" ref="I170:I175">SUM(H170/G170*100)</f>
        <v>194.95346497295938</v>
      </c>
    </row>
    <row r="171" spans="1:9" s="165" customFormat="1" ht="15" hidden="1">
      <c r="A171" s="342" t="s">
        <v>1186</v>
      </c>
      <c r="B171" s="77"/>
      <c r="C171" s="37" t="s">
        <v>1190</v>
      </c>
      <c r="D171" s="37" t="s">
        <v>1150</v>
      </c>
      <c r="E171" s="51" t="s">
        <v>1187</v>
      </c>
      <c r="F171" s="52"/>
      <c r="G171" s="26">
        <f>SUM(G172,G176)</f>
        <v>0</v>
      </c>
      <c r="H171" s="26">
        <f>SUM(H172)</f>
        <v>395.4</v>
      </c>
      <c r="I171" s="26" t="e">
        <f t="shared" si="7"/>
        <v>#DIV/0!</v>
      </c>
    </row>
    <row r="172" spans="1:9" s="165" customFormat="1" ht="28.5" hidden="1">
      <c r="A172" s="285" t="s">
        <v>440</v>
      </c>
      <c r="B172" s="77"/>
      <c r="C172" s="37" t="s">
        <v>1190</v>
      </c>
      <c r="D172" s="37" t="s">
        <v>1150</v>
      </c>
      <c r="E172" s="51" t="s">
        <v>448</v>
      </c>
      <c r="F172" s="52"/>
      <c r="G172" s="26">
        <f>SUM(G174)+G173</f>
        <v>0</v>
      </c>
      <c r="H172" s="26">
        <f>SUM(H174)+H173</f>
        <v>395.4</v>
      </c>
      <c r="I172" s="26" t="e">
        <f t="shared" si="7"/>
        <v>#DIV/0!</v>
      </c>
    </row>
    <row r="173" spans="1:9" s="165" customFormat="1" ht="15" hidden="1">
      <c r="A173" s="285" t="s">
        <v>1147</v>
      </c>
      <c r="B173" s="77"/>
      <c r="C173" s="37" t="s">
        <v>1190</v>
      </c>
      <c r="D173" s="37" t="s">
        <v>1150</v>
      </c>
      <c r="E173" s="51" t="s">
        <v>448</v>
      </c>
      <c r="F173" s="25" t="s">
        <v>1148</v>
      </c>
      <c r="G173" s="54"/>
      <c r="H173" s="54">
        <v>395.4</v>
      </c>
      <c r="I173" s="26" t="e">
        <f t="shared" si="7"/>
        <v>#DIV/0!</v>
      </c>
    </row>
    <row r="174" spans="1:9" s="165" customFormat="1" ht="28.5" hidden="1">
      <c r="A174" s="342" t="s">
        <v>438</v>
      </c>
      <c r="B174" s="78"/>
      <c r="C174" s="37" t="s">
        <v>1190</v>
      </c>
      <c r="D174" s="37" t="s">
        <v>1150</v>
      </c>
      <c r="E174" s="51" t="s">
        <v>439</v>
      </c>
      <c r="F174" s="52" t="s">
        <v>1148</v>
      </c>
      <c r="G174" s="54"/>
      <c r="H174" s="54"/>
      <c r="I174" s="26" t="e">
        <f t="shared" si="7"/>
        <v>#DIV/0!</v>
      </c>
    </row>
    <row r="175" spans="1:9" s="165" customFormat="1" ht="42.75" hidden="1">
      <c r="A175" s="296" t="s">
        <v>255</v>
      </c>
      <c r="B175" s="78"/>
      <c r="C175" s="37" t="s">
        <v>1190</v>
      </c>
      <c r="D175" s="37" t="s">
        <v>1150</v>
      </c>
      <c r="E175" s="51" t="s">
        <v>256</v>
      </c>
      <c r="F175" s="52" t="s">
        <v>1148</v>
      </c>
      <c r="G175" s="54"/>
      <c r="H175" s="54"/>
      <c r="I175" s="26" t="e">
        <f t="shared" si="7"/>
        <v>#DIV/0!</v>
      </c>
    </row>
    <row r="176" spans="1:9" ht="15" hidden="1">
      <c r="A176" s="291" t="s">
        <v>1047</v>
      </c>
      <c r="B176" s="23"/>
      <c r="C176" s="33" t="s">
        <v>1190</v>
      </c>
      <c r="D176" s="33" t="s">
        <v>1150</v>
      </c>
      <c r="E176" s="33" t="s">
        <v>1054</v>
      </c>
      <c r="F176" s="28"/>
      <c r="G176" s="54">
        <f>SUM(G177)</f>
        <v>0</v>
      </c>
      <c r="H176" s="54"/>
      <c r="I176" s="26"/>
    </row>
    <row r="177" spans="1:9" ht="15" hidden="1">
      <c r="A177" s="291" t="s">
        <v>1001</v>
      </c>
      <c r="B177" s="23"/>
      <c r="C177" s="33" t="s">
        <v>1190</v>
      </c>
      <c r="D177" s="33" t="s">
        <v>1150</v>
      </c>
      <c r="E177" s="33" t="s">
        <v>287</v>
      </c>
      <c r="F177" s="28" t="s">
        <v>1002</v>
      </c>
      <c r="G177" s="54"/>
      <c r="H177" s="54"/>
      <c r="I177" s="26"/>
    </row>
    <row r="178" spans="1:9" ht="28.5">
      <c r="A178" s="291" t="s">
        <v>754</v>
      </c>
      <c r="B178" s="23"/>
      <c r="C178" s="33" t="s">
        <v>1190</v>
      </c>
      <c r="D178" s="33" t="s">
        <v>1150</v>
      </c>
      <c r="E178" s="33" t="s">
        <v>314</v>
      </c>
      <c r="F178" s="28"/>
      <c r="G178" s="54">
        <f>SUM(G179)</f>
        <v>3180.4</v>
      </c>
      <c r="H178" s="54"/>
      <c r="I178" s="26"/>
    </row>
    <row r="179" spans="1:9" ht="42.75">
      <c r="A179" s="291" t="s">
        <v>315</v>
      </c>
      <c r="B179" s="23"/>
      <c r="C179" s="33" t="s">
        <v>1190</v>
      </c>
      <c r="D179" s="33" t="s">
        <v>1150</v>
      </c>
      <c r="E179" s="33" t="s">
        <v>314</v>
      </c>
      <c r="F179" s="28" t="s">
        <v>496</v>
      </c>
      <c r="G179" s="54">
        <v>3180.4</v>
      </c>
      <c r="H179" s="54"/>
      <c r="I179" s="26"/>
    </row>
    <row r="180" spans="1:9" ht="15">
      <c r="A180" s="292" t="s">
        <v>257</v>
      </c>
      <c r="B180" s="23"/>
      <c r="C180" s="37" t="s">
        <v>1190</v>
      </c>
      <c r="D180" s="37" t="s">
        <v>1190</v>
      </c>
      <c r="E180" s="37"/>
      <c r="F180" s="29"/>
      <c r="G180" s="26">
        <f>SUM(G181+G184+G200+G188)+G196</f>
        <v>16165.2</v>
      </c>
      <c r="H180" s="26" t="e">
        <f>SUM(H181+H184+H200+H188)+H196</f>
        <v>#REF!</v>
      </c>
      <c r="I180" s="26" t="e">
        <f aca="true" t="shared" si="8" ref="I180:I243">SUM(H180/G180*100)</f>
        <v>#REF!</v>
      </c>
    </row>
    <row r="181" spans="1:9" s="39" customFormat="1" ht="41.25" customHeight="1">
      <c r="A181" s="285" t="s">
        <v>1143</v>
      </c>
      <c r="B181" s="36"/>
      <c r="C181" s="37" t="s">
        <v>1190</v>
      </c>
      <c r="D181" s="37" t="s">
        <v>1190</v>
      </c>
      <c r="E181" s="24" t="s">
        <v>1144</v>
      </c>
      <c r="F181" s="28"/>
      <c r="G181" s="26">
        <f>SUM(G182+G185)</f>
        <v>16165.2</v>
      </c>
      <c r="H181" s="26">
        <f>SUM(H182+H185)</f>
        <v>0</v>
      </c>
      <c r="I181" s="26">
        <f t="shared" si="8"/>
        <v>0</v>
      </c>
    </row>
    <row r="182" spans="1:9" s="39" customFormat="1" ht="21" customHeight="1">
      <c r="A182" s="285" t="s">
        <v>1151</v>
      </c>
      <c r="B182" s="36"/>
      <c r="C182" s="37" t="s">
        <v>1190</v>
      </c>
      <c r="D182" s="37" t="s">
        <v>1190</v>
      </c>
      <c r="E182" s="24" t="s">
        <v>1153</v>
      </c>
      <c r="F182" s="28"/>
      <c r="G182" s="26">
        <f>SUM(G183)</f>
        <v>16165.2</v>
      </c>
      <c r="H182" s="26">
        <f>SUM(H183)</f>
        <v>0</v>
      </c>
      <c r="I182" s="26">
        <f t="shared" si="8"/>
        <v>0</v>
      </c>
    </row>
    <row r="183" spans="1:9" s="39" customFormat="1" ht="25.5" customHeight="1">
      <c r="A183" s="285" t="s">
        <v>1147</v>
      </c>
      <c r="B183" s="36"/>
      <c r="C183" s="37" t="s">
        <v>1190</v>
      </c>
      <c r="D183" s="37" t="s">
        <v>1190</v>
      </c>
      <c r="E183" s="24" t="s">
        <v>1153</v>
      </c>
      <c r="F183" s="28" t="s">
        <v>1148</v>
      </c>
      <c r="G183" s="26">
        <v>16165.2</v>
      </c>
      <c r="H183" s="26"/>
      <c r="I183" s="26">
        <f t="shared" si="8"/>
        <v>0</v>
      </c>
    </row>
    <row r="184" spans="1:9" ht="25.5" customHeight="1" hidden="1">
      <c r="A184" s="287" t="s">
        <v>262</v>
      </c>
      <c r="B184" s="23"/>
      <c r="C184" s="37" t="s">
        <v>1190</v>
      </c>
      <c r="D184" s="37" t="s">
        <v>1190</v>
      </c>
      <c r="E184" s="37" t="s">
        <v>263</v>
      </c>
      <c r="F184" s="29"/>
      <c r="G184" s="26"/>
      <c r="H184" s="26"/>
      <c r="I184" s="26" t="e">
        <f t="shared" si="8"/>
        <v>#DIV/0!</v>
      </c>
    </row>
    <row r="185" spans="1:9" ht="27.75" customHeight="1" hidden="1">
      <c r="A185" s="287" t="s">
        <v>1072</v>
      </c>
      <c r="B185" s="23"/>
      <c r="C185" s="37" t="s">
        <v>1190</v>
      </c>
      <c r="D185" s="37" t="s">
        <v>1190</v>
      </c>
      <c r="E185" s="37" t="s">
        <v>258</v>
      </c>
      <c r="F185" s="29"/>
      <c r="G185" s="26">
        <f>SUM(G187)</f>
        <v>0</v>
      </c>
      <c r="H185" s="26">
        <f>SUM(H187)</f>
        <v>0</v>
      </c>
      <c r="I185" s="26" t="e">
        <f t="shared" si="8"/>
        <v>#DIV/0!</v>
      </c>
    </row>
    <row r="186" spans="1:9" ht="42.75" customHeight="1" hidden="1">
      <c r="A186" s="287" t="s">
        <v>259</v>
      </c>
      <c r="B186" s="23"/>
      <c r="C186" s="37" t="s">
        <v>1190</v>
      </c>
      <c r="D186" s="37" t="s">
        <v>1190</v>
      </c>
      <c r="E186" s="37" t="s">
        <v>260</v>
      </c>
      <c r="F186" s="29"/>
      <c r="G186" s="26">
        <f>SUM(G187)</f>
        <v>0</v>
      </c>
      <c r="H186" s="26">
        <f>SUM(H187)</f>
        <v>0</v>
      </c>
      <c r="I186" s="26" t="e">
        <f t="shared" si="8"/>
        <v>#DIV/0!</v>
      </c>
    </row>
    <row r="187" spans="1:9" ht="19.5" customHeight="1" hidden="1">
      <c r="A187" s="291" t="s">
        <v>261</v>
      </c>
      <c r="B187" s="23"/>
      <c r="C187" s="37" t="s">
        <v>1190</v>
      </c>
      <c r="D187" s="37" t="s">
        <v>1190</v>
      </c>
      <c r="E187" s="37" t="s">
        <v>260</v>
      </c>
      <c r="F187" s="28" t="s">
        <v>199</v>
      </c>
      <c r="G187" s="54"/>
      <c r="H187" s="54"/>
      <c r="I187" s="26" t="e">
        <f t="shared" si="8"/>
        <v>#DIV/0!</v>
      </c>
    </row>
    <row r="188" spans="1:9" ht="21.75" customHeight="1" hidden="1">
      <c r="A188" s="287" t="s">
        <v>990</v>
      </c>
      <c r="B188" s="50"/>
      <c r="C188" s="37" t="s">
        <v>1190</v>
      </c>
      <c r="D188" s="37" t="s">
        <v>1190</v>
      </c>
      <c r="E188" s="51" t="s">
        <v>991</v>
      </c>
      <c r="F188" s="28"/>
      <c r="G188" s="54">
        <f>SUM(G189+G194)</f>
        <v>0</v>
      </c>
      <c r="H188" s="54">
        <f>SUM(H189+H194)</f>
        <v>4731.200000000001</v>
      </c>
      <c r="I188" s="26" t="e">
        <f t="shared" si="8"/>
        <v>#DIV/0!</v>
      </c>
    </row>
    <row r="189" spans="1:9" ht="47.25" customHeight="1" hidden="1">
      <c r="A189" s="285" t="s">
        <v>1123</v>
      </c>
      <c r="B189" s="50"/>
      <c r="C189" s="37" t="s">
        <v>1190</v>
      </c>
      <c r="D189" s="37" t="s">
        <v>1190</v>
      </c>
      <c r="E189" s="51" t="s">
        <v>1124</v>
      </c>
      <c r="F189" s="28"/>
      <c r="G189" s="54">
        <f>SUM(G190+G192)</f>
        <v>0</v>
      </c>
      <c r="H189" s="54">
        <f>SUM(H190+H192)</f>
        <v>4731.200000000001</v>
      </c>
      <c r="I189" s="26" t="e">
        <f t="shared" si="8"/>
        <v>#DIV/0!</v>
      </c>
    </row>
    <row r="190" spans="1:9" ht="15" hidden="1">
      <c r="A190" s="287" t="s">
        <v>445</v>
      </c>
      <c r="B190" s="23"/>
      <c r="C190" s="37" t="s">
        <v>1190</v>
      </c>
      <c r="D190" s="37" t="s">
        <v>1190</v>
      </c>
      <c r="E190" s="51" t="s">
        <v>446</v>
      </c>
      <c r="F190" s="28"/>
      <c r="G190" s="54">
        <f>SUM(G191,G199)</f>
        <v>0</v>
      </c>
      <c r="H190" s="54">
        <f>SUM(H191,H199)</f>
        <v>4731.200000000001</v>
      </c>
      <c r="I190" s="26" t="e">
        <f t="shared" si="8"/>
        <v>#DIV/0!</v>
      </c>
    </row>
    <row r="191" spans="1:9" ht="18.75" customHeight="1" hidden="1">
      <c r="A191" s="291" t="s">
        <v>261</v>
      </c>
      <c r="B191" s="23"/>
      <c r="C191" s="37" t="s">
        <v>1190</v>
      </c>
      <c r="D191" s="37" t="s">
        <v>1190</v>
      </c>
      <c r="E191" s="51" t="s">
        <v>446</v>
      </c>
      <c r="F191" s="28" t="s">
        <v>199</v>
      </c>
      <c r="G191" s="54"/>
      <c r="H191" s="54">
        <v>2740.8</v>
      </c>
      <c r="I191" s="26" t="e">
        <f t="shared" si="8"/>
        <v>#DIV/0!</v>
      </c>
    </row>
    <row r="192" spans="1:9" ht="27" customHeight="1" hidden="1">
      <c r="A192" s="291" t="s">
        <v>265</v>
      </c>
      <c r="B192" s="23"/>
      <c r="C192" s="37" t="s">
        <v>1190</v>
      </c>
      <c r="D192" s="37" t="s">
        <v>1190</v>
      </c>
      <c r="E192" s="51" t="s">
        <v>266</v>
      </c>
      <c r="F192" s="28"/>
      <c r="G192" s="54">
        <f>SUM(G193)</f>
        <v>0</v>
      </c>
      <c r="H192" s="54">
        <f>SUM(H193)</f>
        <v>0</v>
      </c>
      <c r="I192" s="26" t="e">
        <f t="shared" si="8"/>
        <v>#DIV/0!</v>
      </c>
    </row>
    <row r="193" spans="1:9" ht="19.5" customHeight="1" hidden="1">
      <c r="A193" s="291" t="s">
        <v>261</v>
      </c>
      <c r="B193" s="23"/>
      <c r="C193" s="37" t="s">
        <v>1190</v>
      </c>
      <c r="D193" s="37" t="s">
        <v>1190</v>
      </c>
      <c r="E193" s="51" t="s">
        <v>266</v>
      </c>
      <c r="F193" s="28" t="s">
        <v>199</v>
      </c>
      <c r="G193" s="54"/>
      <c r="H193" s="54"/>
      <c r="I193" s="26" t="e">
        <f t="shared" si="8"/>
        <v>#DIV/0!</v>
      </c>
    </row>
    <row r="194" spans="1:9" ht="42.75" customHeight="1" hidden="1">
      <c r="A194" s="291" t="s">
        <v>267</v>
      </c>
      <c r="B194" s="23"/>
      <c r="C194" s="37" t="s">
        <v>1190</v>
      </c>
      <c r="D194" s="37" t="s">
        <v>1190</v>
      </c>
      <c r="E194" s="51" t="s">
        <v>268</v>
      </c>
      <c r="F194" s="28"/>
      <c r="G194" s="54">
        <f>SUM(G195)</f>
        <v>0</v>
      </c>
      <c r="H194" s="54">
        <f>SUM(H195)</f>
        <v>0</v>
      </c>
      <c r="I194" s="26" t="e">
        <f t="shared" si="8"/>
        <v>#DIV/0!</v>
      </c>
    </row>
    <row r="195" spans="1:9" ht="21.75" customHeight="1" hidden="1">
      <c r="A195" s="291" t="s">
        <v>261</v>
      </c>
      <c r="B195" s="23"/>
      <c r="C195" s="37" t="s">
        <v>1190</v>
      </c>
      <c r="D195" s="37" t="s">
        <v>1190</v>
      </c>
      <c r="E195" s="51" t="s">
        <v>268</v>
      </c>
      <c r="F195" s="28" t="s">
        <v>199</v>
      </c>
      <c r="G195" s="54"/>
      <c r="H195" s="54"/>
      <c r="I195" s="26" t="e">
        <f t="shared" si="8"/>
        <v>#DIV/0!</v>
      </c>
    </row>
    <row r="196" spans="1:9" ht="16.5" customHeight="1" hidden="1">
      <c r="A196" s="291" t="s">
        <v>269</v>
      </c>
      <c r="B196" s="23"/>
      <c r="C196" s="37" t="s">
        <v>1190</v>
      </c>
      <c r="D196" s="37" t="s">
        <v>1190</v>
      </c>
      <c r="E196" s="51" t="s">
        <v>270</v>
      </c>
      <c r="F196" s="28"/>
      <c r="G196" s="54">
        <f>SUM(G197)</f>
        <v>0</v>
      </c>
      <c r="H196" s="54">
        <f>SUM(H197)</f>
        <v>0</v>
      </c>
      <c r="I196" s="26" t="e">
        <f t="shared" si="8"/>
        <v>#DIV/0!</v>
      </c>
    </row>
    <row r="197" spans="1:9" ht="16.5" customHeight="1" hidden="1">
      <c r="A197" s="291" t="s">
        <v>271</v>
      </c>
      <c r="B197" s="23"/>
      <c r="C197" s="37" t="s">
        <v>1190</v>
      </c>
      <c r="D197" s="37" t="s">
        <v>1190</v>
      </c>
      <c r="E197" s="51" t="s">
        <v>272</v>
      </c>
      <c r="F197" s="28"/>
      <c r="G197" s="54">
        <f>SUM(G198)</f>
        <v>0</v>
      </c>
      <c r="H197" s="54">
        <f>SUM(H198)</f>
        <v>0</v>
      </c>
      <c r="I197" s="26" t="e">
        <f t="shared" si="8"/>
        <v>#DIV/0!</v>
      </c>
    </row>
    <row r="198" spans="1:9" ht="15" customHeight="1" hidden="1">
      <c r="A198" s="291" t="s">
        <v>261</v>
      </c>
      <c r="B198" s="23"/>
      <c r="C198" s="37" t="s">
        <v>1190</v>
      </c>
      <c r="D198" s="37" t="s">
        <v>1190</v>
      </c>
      <c r="E198" s="51" t="s">
        <v>272</v>
      </c>
      <c r="F198" s="28" t="s">
        <v>199</v>
      </c>
      <c r="G198" s="54"/>
      <c r="H198" s="54"/>
      <c r="I198" s="26" t="e">
        <f t="shared" si="8"/>
        <v>#DIV/0!</v>
      </c>
    </row>
    <row r="199" spans="1:9" ht="30" customHeight="1" hidden="1">
      <c r="A199" s="285" t="s">
        <v>1147</v>
      </c>
      <c r="B199" s="23"/>
      <c r="C199" s="37" t="s">
        <v>1190</v>
      </c>
      <c r="D199" s="37" t="s">
        <v>1190</v>
      </c>
      <c r="E199" s="51" t="s">
        <v>446</v>
      </c>
      <c r="F199" s="28" t="s">
        <v>1148</v>
      </c>
      <c r="G199" s="54"/>
      <c r="H199" s="54">
        <v>1990.4</v>
      </c>
      <c r="I199" s="26" t="e">
        <f t="shared" si="8"/>
        <v>#DIV/0!</v>
      </c>
    </row>
    <row r="200" spans="1:9" ht="15" hidden="1">
      <c r="A200" s="285" t="s">
        <v>1186</v>
      </c>
      <c r="B200" s="23"/>
      <c r="C200" s="37" t="s">
        <v>1190</v>
      </c>
      <c r="D200" s="37" t="s">
        <v>1190</v>
      </c>
      <c r="E200" s="24" t="s">
        <v>1187</v>
      </c>
      <c r="F200" s="29"/>
      <c r="G200" s="26">
        <f>SUM(G201+G205)</f>
        <v>0</v>
      </c>
      <c r="H200" s="26" t="e">
        <f>SUM(H202+H204+H205+#REF!)</f>
        <v>#REF!</v>
      </c>
      <c r="I200" s="26" t="e">
        <f t="shared" si="8"/>
        <v>#REF!</v>
      </c>
    </row>
    <row r="201" spans="1:9" ht="15" hidden="1">
      <c r="A201" s="291" t="s">
        <v>261</v>
      </c>
      <c r="B201" s="23"/>
      <c r="C201" s="37" t="s">
        <v>1190</v>
      </c>
      <c r="D201" s="37" t="s">
        <v>1190</v>
      </c>
      <c r="E201" s="24" t="s">
        <v>1187</v>
      </c>
      <c r="F201" s="29" t="s">
        <v>199</v>
      </c>
      <c r="G201" s="26">
        <f>SUM(G202)</f>
        <v>0</v>
      </c>
      <c r="H201" s="26">
        <f>SUM(H202)</f>
        <v>492.1</v>
      </c>
      <c r="I201" s="26" t="e">
        <f t="shared" si="8"/>
        <v>#DIV/0!</v>
      </c>
    </row>
    <row r="202" spans="1:9" ht="14.25" customHeight="1" hidden="1">
      <c r="A202" s="296" t="s">
        <v>273</v>
      </c>
      <c r="B202" s="80"/>
      <c r="C202" s="81" t="s">
        <v>1190</v>
      </c>
      <c r="D202" s="81" t="s">
        <v>1190</v>
      </c>
      <c r="E202" s="47" t="s">
        <v>274</v>
      </c>
      <c r="F202" s="29" t="s">
        <v>199</v>
      </c>
      <c r="G202" s="75"/>
      <c r="H202" s="75">
        <v>492.1</v>
      </c>
      <c r="I202" s="26" t="e">
        <f t="shared" si="8"/>
        <v>#DIV/0!</v>
      </c>
    </row>
    <row r="203" spans="1:9" ht="15" hidden="1">
      <c r="A203" s="285" t="s">
        <v>1147</v>
      </c>
      <c r="B203" s="77"/>
      <c r="C203" s="81" t="s">
        <v>1190</v>
      </c>
      <c r="D203" s="81" t="s">
        <v>1190</v>
      </c>
      <c r="E203" s="51" t="s">
        <v>1187</v>
      </c>
      <c r="F203" s="52" t="s">
        <v>1148</v>
      </c>
      <c r="G203" s="26">
        <f>SUM(G204)</f>
        <v>0</v>
      </c>
      <c r="H203" s="26">
        <f>SUM(H204)</f>
        <v>0</v>
      </c>
      <c r="I203" s="26" t="e">
        <f t="shared" si="8"/>
        <v>#DIV/0!</v>
      </c>
    </row>
    <row r="204" spans="1:9" ht="28.5" hidden="1">
      <c r="A204" s="342" t="s">
        <v>449</v>
      </c>
      <c r="B204" s="77"/>
      <c r="C204" s="81" t="s">
        <v>1190</v>
      </c>
      <c r="D204" s="81" t="s">
        <v>1190</v>
      </c>
      <c r="E204" s="51" t="s">
        <v>450</v>
      </c>
      <c r="F204" s="25" t="s">
        <v>1148</v>
      </c>
      <c r="G204" s="54"/>
      <c r="H204" s="54"/>
      <c r="I204" s="26" t="e">
        <f t="shared" si="8"/>
        <v>#DIV/0!</v>
      </c>
    </row>
    <row r="205" spans="1:9" ht="28.5" customHeight="1" hidden="1">
      <c r="A205" s="291" t="s">
        <v>465</v>
      </c>
      <c r="B205" s="23"/>
      <c r="C205" s="37" t="s">
        <v>1190</v>
      </c>
      <c r="D205" s="37" t="s">
        <v>1190</v>
      </c>
      <c r="E205" s="24" t="s">
        <v>454</v>
      </c>
      <c r="F205" s="29"/>
      <c r="G205" s="26">
        <f>SUM(G206+G209)</f>
        <v>0</v>
      </c>
      <c r="H205" s="26">
        <f>SUM(H206+H209)</f>
        <v>2038.3</v>
      </c>
      <c r="I205" s="26" t="e">
        <f t="shared" si="8"/>
        <v>#DIV/0!</v>
      </c>
    </row>
    <row r="206" spans="1:9" ht="28.5" customHeight="1" hidden="1">
      <c r="A206" s="296" t="s">
        <v>445</v>
      </c>
      <c r="B206" s="80"/>
      <c r="C206" s="37" t="s">
        <v>1190</v>
      </c>
      <c r="D206" s="37" t="s">
        <v>1190</v>
      </c>
      <c r="E206" s="24" t="s">
        <v>455</v>
      </c>
      <c r="F206" s="29"/>
      <c r="G206" s="75">
        <f>SUM(G207:G208)</f>
        <v>0</v>
      </c>
      <c r="H206" s="75">
        <f>SUM(H207:H208)</f>
        <v>1157.5</v>
      </c>
      <c r="I206" s="26" t="e">
        <f t="shared" si="8"/>
        <v>#DIV/0!</v>
      </c>
    </row>
    <row r="207" spans="1:9" ht="15.75" customHeight="1" hidden="1">
      <c r="A207" s="291" t="s">
        <v>261</v>
      </c>
      <c r="B207" s="23"/>
      <c r="C207" s="37" t="s">
        <v>1190</v>
      </c>
      <c r="D207" s="37" t="s">
        <v>1190</v>
      </c>
      <c r="E207" s="24" t="s">
        <v>455</v>
      </c>
      <c r="F207" s="28" t="s">
        <v>199</v>
      </c>
      <c r="G207" s="54"/>
      <c r="H207" s="54">
        <v>1157.5</v>
      </c>
      <c r="I207" s="26" t="e">
        <f t="shared" si="8"/>
        <v>#DIV/0!</v>
      </c>
    </row>
    <row r="208" spans="1:9" ht="26.25" customHeight="1" hidden="1">
      <c r="A208" s="285" t="s">
        <v>1147</v>
      </c>
      <c r="B208" s="77"/>
      <c r="C208" s="37" t="s">
        <v>1190</v>
      </c>
      <c r="D208" s="37" t="s">
        <v>1190</v>
      </c>
      <c r="E208" s="24" t="s">
        <v>455</v>
      </c>
      <c r="F208" s="52" t="s">
        <v>1148</v>
      </c>
      <c r="G208" s="26"/>
      <c r="H208" s="26"/>
      <c r="I208" s="26" t="e">
        <f t="shared" si="8"/>
        <v>#DIV/0!</v>
      </c>
    </row>
    <row r="209" spans="1:9" ht="36.75" customHeight="1" hidden="1">
      <c r="A209" s="342" t="s">
        <v>275</v>
      </c>
      <c r="B209" s="23"/>
      <c r="C209" s="37" t="s">
        <v>1190</v>
      </c>
      <c r="D209" s="37" t="s">
        <v>1190</v>
      </c>
      <c r="E209" s="24" t="s">
        <v>1085</v>
      </c>
      <c r="F209" s="29"/>
      <c r="G209" s="26">
        <f>SUM(G210)</f>
        <v>0</v>
      </c>
      <c r="H209" s="26">
        <f>SUM(H210)</f>
        <v>880.8</v>
      </c>
      <c r="I209" s="26" t="e">
        <f t="shared" si="8"/>
        <v>#DIV/0!</v>
      </c>
    </row>
    <row r="210" spans="1:9" ht="16.5" customHeight="1" hidden="1">
      <c r="A210" s="291" t="s">
        <v>261</v>
      </c>
      <c r="B210" s="23"/>
      <c r="C210" s="37" t="s">
        <v>1190</v>
      </c>
      <c r="D210" s="37" t="s">
        <v>1190</v>
      </c>
      <c r="E210" s="24" t="s">
        <v>1085</v>
      </c>
      <c r="F210" s="28" t="s">
        <v>199</v>
      </c>
      <c r="G210" s="54"/>
      <c r="H210" s="54">
        <v>880.8</v>
      </c>
      <c r="I210" s="26" t="e">
        <f t="shared" si="8"/>
        <v>#DIV/0!</v>
      </c>
    </row>
    <row r="211" spans="1:9" ht="21" customHeight="1">
      <c r="A211" s="298" t="s">
        <v>716</v>
      </c>
      <c r="B211" s="96" t="s">
        <v>717</v>
      </c>
      <c r="C211" s="46"/>
      <c r="D211" s="46"/>
      <c r="E211" s="46"/>
      <c r="F211" s="162"/>
      <c r="G211" s="161">
        <f>SUM(G212+G279+G306+G339+G485+G505+G584)</f>
        <v>168871.60000000003</v>
      </c>
      <c r="H211" s="161" t="e">
        <f>SUM(H212+H279+H306+H339+H485+H505+H513+H552+#REF!)</f>
        <v>#REF!</v>
      </c>
      <c r="I211" s="45" t="e">
        <f t="shared" si="8"/>
        <v>#REF!</v>
      </c>
    </row>
    <row r="212" spans="1:9" ht="15">
      <c r="A212" s="285" t="s">
        <v>1139</v>
      </c>
      <c r="B212" s="23"/>
      <c r="C212" s="24" t="s">
        <v>1140</v>
      </c>
      <c r="D212" s="24"/>
      <c r="E212" s="24"/>
      <c r="F212" s="25"/>
      <c r="G212" s="26">
        <f>SUM(G213+G236+G242+G229+G232)</f>
        <v>75057.90000000001</v>
      </c>
      <c r="H212" s="26">
        <f>SUM(H213+H236+H242+H229+H232)</f>
        <v>63770.40000000001</v>
      </c>
      <c r="I212" s="26">
        <f t="shared" si="8"/>
        <v>84.96160963735996</v>
      </c>
    </row>
    <row r="213" spans="1:9" ht="28.5">
      <c r="A213" s="285" t="s">
        <v>1179</v>
      </c>
      <c r="B213" s="23"/>
      <c r="C213" s="24" t="s">
        <v>1140</v>
      </c>
      <c r="D213" s="24" t="s">
        <v>1174</v>
      </c>
      <c r="E213" s="24"/>
      <c r="F213" s="25"/>
      <c r="G213" s="26">
        <f>SUM(G214)+G226+G224</f>
        <v>68250.40000000001</v>
      </c>
      <c r="H213" s="26">
        <f>SUM(H214)+H226+H224</f>
        <v>52319.90000000001</v>
      </c>
      <c r="I213" s="26">
        <f t="shared" si="8"/>
        <v>76.658744857173</v>
      </c>
    </row>
    <row r="214" spans="1:9" ht="43.5" customHeight="1">
      <c r="A214" s="285" t="s">
        <v>1143</v>
      </c>
      <c r="B214" s="23"/>
      <c r="C214" s="24" t="s">
        <v>1140</v>
      </c>
      <c r="D214" s="24" t="s">
        <v>1174</v>
      </c>
      <c r="E214" s="24" t="s">
        <v>1144</v>
      </c>
      <c r="F214" s="28"/>
      <c r="G214" s="26">
        <f>SUM(G215+G222)</f>
        <v>67988.40000000001</v>
      </c>
      <c r="H214" s="26">
        <f>SUM(H215+H222)</f>
        <v>51899.200000000004</v>
      </c>
      <c r="I214" s="26">
        <f t="shared" si="8"/>
        <v>76.33537485806401</v>
      </c>
    </row>
    <row r="215" spans="1:9" ht="14.25" customHeight="1">
      <c r="A215" s="285" t="s">
        <v>1151</v>
      </c>
      <c r="B215" s="23"/>
      <c r="C215" s="24" t="s">
        <v>1140</v>
      </c>
      <c r="D215" s="24" t="s">
        <v>1174</v>
      </c>
      <c r="E215" s="24" t="s">
        <v>1153</v>
      </c>
      <c r="F215" s="28"/>
      <c r="G215" s="26">
        <f>SUM(G216:G216+G217+G219+G220)+G218+G221</f>
        <v>66932.40000000001</v>
      </c>
      <c r="H215" s="26">
        <f>SUM(H216:H216+H217+H219+H220)+H218+H221</f>
        <v>51161.8</v>
      </c>
      <c r="I215" s="26">
        <f t="shared" si="8"/>
        <v>76.43801806001278</v>
      </c>
    </row>
    <row r="216" spans="1:9" ht="23.25" customHeight="1">
      <c r="A216" s="285" t="s">
        <v>1147</v>
      </c>
      <c r="B216" s="23"/>
      <c r="C216" s="24" t="s">
        <v>1140</v>
      </c>
      <c r="D216" s="24" t="s">
        <v>1174</v>
      </c>
      <c r="E216" s="24" t="s">
        <v>1153</v>
      </c>
      <c r="F216" s="25" t="s">
        <v>1148</v>
      </c>
      <c r="G216" s="26">
        <f>65405.3-52.2</f>
        <v>65353.100000000006</v>
      </c>
      <c r="H216" s="26">
        <v>50612.1</v>
      </c>
      <c r="I216" s="26">
        <f t="shared" si="8"/>
        <v>77.44406921783357</v>
      </c>
    </row>
    <row r="217" spans="1:9" ht="37.5" customHeight="1">
      <c r="A217" s="285" t="s">
        <v>1180</v>
      </c>
      <c r="B217" s="23"/>
      <c r="C217" s="24" t="s">
        <v>1140</v>
      </c>
      <c r="D217" s="24" t="s">
        <v>1174</v>
      </c>
      <c r="E217" s="24" t="s">
        <v>1181</v>
      </c>
      <c r="F217" s="25" t="s">
        <v>1148</v>
      </c>
      <c r="G217" s="26">
        <v>1319.8</v>
      </c>
      <c r="H217" s="26">
        <v>507.8</v>
      </c>
      <c r="I217" s="26">
        <f t="shared" si="8"/>
        <v>38.47552659493863</v>
      </c>
    </row>
    <row r="218" spans="1:9" ht="42.75" hidden="1">
      <c r="A218" s="285" t="s">
        <v>1182</v>
      </c>
      <c r="B218" s="23"/>
      <c r="C218" s="24" t="s">
        <v>1140</v>
      </c>
      <c r="D218" s="24" t="s">
        <v>1174</v>
      </c>
      <c r="E218" s="24" t="s">
        <v>1183</v>
      </c>
      <c r="F218" s="25" t="s">
        <v>1148</v>
      </c>
      <c r="G218" s="26"/>
      <c r="H218" s="26"/>
      <c r="I218" s="26" t="e">
        <f t="shared" si="8"/>
        <v>#DIV/0!</v>
      </c>
    </row>
    <row r="219" spans="1:9" ht="72" customHeight="1" hidden="1">
      <c r="A219" s="285" t="s">
        <v>1184</v>
      </c>
      <c r="B219" s="23"/>
      <c r="C219" s="24" t="s">
        <v>1140</v>
      </c>
      <c r="D219" s="24" t="s">
        <v>1174</v>
      </c>
      <c r="E219" s="24" t="s">
        <v>1185</v>
      </c>
      <c r="F219" s="25" t="s">
        <v>1148</v>
      </c>
      <c r="G219" s="26"/>
      <c r="H219" s="26">
        <v>41.9</v>
      </c>
      <c r="I219" s="26" t="e">
        <f t="shared" si="8"/>
        <v>#DIV/0!</v>
      </c>
    </row>
    <row r="220" spans="1:9" ht="51.75" customHeight="1">
      <c r="A220" s="285" t="s">
        <v>634</v>
      </c>
      <c r="B220" s="23"/>
      <c r="C220" s="24" t="s">
        <v>1140</v>
      </c>
      <c r="D220" s="24" t="s">
        <v>1174</v>
      </c>
      <c r="E220" s="24" t="s">
        <v>635</v>
      </c>
      <c r="F220" s="25" t="s">
        <v>1148</v>
      </c>
      <c r="G220" s="26">
        <v>89.4</v>
      </c>
      <c r="H220" s="26"/>
      <c r="I220" s="26">
        <f>SUM(H220/G220*100)</f>
        <v>0</v>
      </c>
    </row>
    <row r="221" spans="1:9" s="39" customFormat="1" ht="37.5" customHeight="1">
      <c r="A221" s="291" t="s">
        <v>500</v>
      </c>
      <c r="B221" s="36"/>
      <c r="C221" s="37" t="s">
        <v>1140</v>
      </c>
      <c r="D221" s="37" t="s">
        <v>1174</v>
      </c>
      <c r="E221" s="37" t="s">
        <v>501</v>
      </c>
      <c r="F221" s="28" t="s">
        <v>1148</v>
      </c>
      <c r="G221" s="26">
        <v>170.1</v>
      </c>
      <c r="H221" s="26"/>
      <c r="I221" s="26">
        <f>SUM(H221/G221*100)</f>
        <v>0</v>
      </c>
    </row>
    <row r="222" spans="1:9" s="31" customFormat="1" ht="40.5" customHeight="1">
      <c r="A222" s="285" t="s">
        <v>636</v>
      </c>
      <c r="B222" s="23"/>
      <c r="C222" s="24" t="s">
        <v>1152</v>
      </c>
      <c r="D222" s="24" t="s">
        <v>1174</v>
      </c>
      <c r="E222" s="24" t="s">
        <v>637</v>
      </c>
      <c r="F222" s="28"/>
      <c r="G222" s="26">
        <f>SUM(G223)</f>
        <v>1056</v>
      </c>
      <c r="H222" s="26">
        <f>SUM(H223)</f>
        <v>737.4</v>
      </c>
      <c r="I222" s="26">
        <f t="shared" si="8"/>
        <v>69.82954545454545</v>
      </c>
    </row>
    <row r="223" spans="1:9" s="31" customFormat="1" ht="26.25" customHeight="1">
      <c r="A223" s="285" t="s">
        <v>1147</v>
      </c>
      <c r="B223" s="23"/>
      <c r="C223" s="24" t="s">
        <v>1140</v>
      </c>
      <c r="D223" s="24" t="s">
        <v>1174</v>
      </c>
      <c r="E223" s="24" t="s">
        <v>637</v>
      </c>
      <c r="F223" s="25" t="s">
        <v>1148</v>
      </c>
      <c r="G223" s="26">
        <v>1056</v>
      </c>
      <c r="H223" s="26">
        <v>737.4</v>
      </c>
      <c r="I223" s="26">
        <f t="shared" si="8"/>
        <v>69.82954545454545</v>
      </c>
    </row>
    <row r="224" spans="1:9" s="31" customFormat="1" ht="27" customHeight="1" hidden="1">
      <c r="A224" s="285" t="s">
        <v>638</v>
      </c>
      <c r="B224" s="23"/>
      <c r="C224" s="24" t="s">
        <v>1140</v>
      </c>
      <c r="D224" s="24" t="s">
        <v>1174</v>
      </c>
      <c r="E224" s="24" t="s">
        <v>639</v>
      </c>
      <c r="F224" s="25"/>
      <c r="G224" s="26">
        <f>SUM(G225)</f>
        <v>0</v>
      </c>
      <c r="H224" s="26">
        <f>SUM(H225)</f>
        <v>264.8</v>
      </c>
      <c r="I224" s="26" t="e">
        <f t="shared" si="8"/>
        <v>#DIV/0!</v>
      </c>
    </row>
    <row r="225" spans="1:9" s="31" customFormat="1" ht="27" customHeight="1" hidden="1">
      <c r="A225" s="285" t="s">
        <v>1147</v>
      </c>
      <c r="B225" s="23"/>
      <c r="C225" s="24" t="s">
        <v>1140</v>
      </c>
      <c r="D225" s="24" t="s">
        <v>1174</v>
      </c>
      <c r="E225" s="24" t="s">
        <v>639</v>
      </c>
      <c r="F225" s="25" t="s">
        <v>1148</v>
      </c>
      <c r="G225" s="26"/>
      <c r="H225" s="26">
        <v>264.8</v>
      </c>
      <c r="I225" s="26" t="e">
        <f t="shared" si="8"/>
        <v>#DIV/0!</v>
      </c>
    </row>
    <row r="226" spans="1:9" s="31" customFormat="1" ht="19.5" customHeight="1">
      <c r="A226" s="285" t="s">
        <v>1186</v>
      </c>
      <c r="B226" s="23"/>
      <c r="C226" s="24" t="s">
        <v>1140</v>
      </c>
      <c r="D226" s="24" t="s">
        <v>1174</v>
      </c>
      <c r="E226" s="24" t="s">
        <v>1187</v>
      </c>
      <c r="F226" s="28"/>
      <c r="G226" s="26">
        <f>SUM(G227)</f>
        <v>262</v>
      </c>
      <c r="H226" s="26">
        <f>SUM(H227)</f>
        <v>155.9</v>
      </c>
      <c r="I226" s="26">
        <f t="shared" si="8"/>
        <v>59.50381679389313</v>
      </c>
    </row>
    <row r="227" spans="1:9" s="31" customFormat="1" ht="24.75" customHeight="1">
      <c r="A227" s="285" t="s">
        <v>764</v>
      </c>
      <c r="B227" s="23"/>
      <c r="C227" s="24" t="s">
        <v>1140</v>
      </c>
      <c r="D227" s="24" t="s">
        <v>1174</v>
      </c>
      <c r="E227" s="24" t="s">
        <v>1188</v>
      </c>
      <c r="F227" s="28"/>
      <c r="G227" s="26">
        <f>SUM(G228)</f>
        <v>262</v>
      </c>
      <c r="H227" s="26">
        <f>SUM(H228:H229)</f>
        <v>155.9</v>
      </c>
      <c r="I227" s="26">
        <f t="shared" si="8"/>
        <v>59.50381679389313</v>
      </c>
    </row>
    <row r="228" spans="1:9" s="31" customFormat="1" ht="24.75" customHeight="1">
      <c r="A228" s="285" t="s">
        <v>1147</v>
      </c>
      <c r="B228" s="23"/>
      <c r="C228" s="24" t="s">
        <v>1140</v>
      </c>
      <c r="D228" s="24" t="s">
        <v>1174</v>
      </c>
      <c r="E228" s="24" t="s">
        <v>1188</v>
      </c>
      <c r="F228" s="28" t="s">
        <v>1148</v>
      </c>
      <c r="G228" s="26">
        <v>262</v>
      </c>
      <c r="H228" s="26">
        <v>155.9</v>
      </c>
      <c r="I228" s="26">
        <f t="shared" si="8"/>
        <v>59.50381679389313</v>
      </c>
    </row>
    <row r="229" spans="1:9" s="31" customFormat="1" ht="15.75" customHeight="1">
      <c r="A229" s="285" t="s">
        <v>1189</v>
      </c>
      <c r="B229" s="23"/>
      <c r="C229" s="24" t="s">
        <v>1140</v>
      </c>
      <c r="D229" s="24" t="s">
        <v>1190</v>
      </c>
      <c r="E229" s="24"/>
      <c r="F229" s="28"/>
      <c r="G229" s="26">
        <f>SUM(G230)</f>
        <v>27</v>
      </c>
      <c r="H229" s="26">
        <f>SUM(H230)</f>
        <v>0</v>
      </c>
      <c r="I229" s="26">
        <f t="shared" si="8"/>
        <v>0</v>
      </c>
    </row>
    <row r="230" spans="1:9" ht="42" customHeight="1">
      <c r="A230" s="287" t="s">
        <v>154</v>
      </c>
      <c r="B230" s="23"/>
      <c r="C230" s="24" t="s">
        <v>1140</v>
      </c>
      <c r="D230" s="24" t="s">
        <v>1190</v>
      </c>
      <c r="E230" s="24" t="s">
        <v>640</v>
      </c>
      <c r="F230" s="28"/>
      <c r="G230" s="26">
        <f>SUM(G231)</f>
        <v>27</v>
      </c>
      <c r="H230" s="26">
        <f>SUM(H231)</f>
        <v>0</v>
      </c>
      <c r="I230" s="26">
        <f t="shared" si="8"/>
        <v>0</v>
      </c>
    </row>
    <row r="231" spans="1:9" ht="25.5" customHeight="1">
      <c r="A231" s="285" t="s">
        <v>1147</v>
      </c>
      <c r="B231" s="23"/>
      <c r="C231" s="24" t="s">
        <v>1140</v>
      </c>
      <c r="D231" s="24" t="s">
        <v>1190</v>
      </c>
      <c r="E231" s="24" t="s">
        <v>640</v>
      </c>
      <c r="F231" s="25" t="s">
        <v>1148</v>
      </c>
      <c r="G231" s="26">
        <v>27</v>
      </c>
      <c r="H231" s="26"/>
      <c r="I231" s="26">
        <f t="shared" si="8"/>
        <v>0</v>
      </c>
    </row>
    <row r="232" spans="1:9" ht="33" customHeight="1" hidden="1">
      <c r="A232" s="285" t="s">
        <v>718</v>
      </c>
      <c r="B232" s="23"/>
      <c r="C232" s="24" t="s">
        <v>1140</v>
      </c>
      <c r="D232" s="24" t="s">
        <v>642</v>
      </c>
      <c r="E232" s="24"/>
      <c r="F232" s="25"/>
      <c r="G232" s="26">
        <f aca="true" t="shared" si="9" ref="G232:H234">SUM(G233)</f>
        <v>0</v>
      </c>
      <c r="H232" s="26">
        <f t="shared" si="9"/>
        <v>0</v>
      </c>
      <c r="I232" s="26" t="e">
        <f t="shared" si="8"/>
        <v>#DIV/0!</v>
      </c>
    </row>
    <row r="233" spans="1:9" ht="14.25" customHeight="1" hidden="1">
      <c r="A233" s="285" t="s">
        <v>1143</v>
      </c>
      <c r="B233" s="23"/>
      <c r="C233" s="24" t="s">
        <v>1140</v>
      </c>
      <c r="D233" s="24" t="s">
        <v>642</v>
      </c>
      <c r="E233" s="24" t="s">
        <v>1144</v>
      </c>
      <c r="F233" s="25"/>
      <c r="G233" s="26">
        <f t="shared" si="9"/>
        <v>0</v>
      </c>
      <c r="H233" s="26">
        <f t="shared" si="9"/>
        <v>0</v>
      </c>
      <c r="I233" s="26" t="e">
        <f t="shared" si="8"/>
        <v>#DIV/0!</v>
      </c>
    </row>
    <row r="234" spans="1:9" ht="19.5" customHeight="1" hidden="1">
      <c r="A234" s="285" t="s">
        <v>1151</v>
      </c>
      <c r="B234" s="23"/>
      <c r="C234" s="24" t="s">
        <v>1140</v>
      </c>
      <c r="D234" s="24" t="s">
        <v>642</v>
      </c>
      <c r="E234" s="24" t="s">
        <v>1153</v>
      </c>
      <c r="F234" s="25"/>
      <c r="G234" s="26">
        <f t="shared" si="9"/>
        <v>0</v>
      </c>
      <c r="H234" s="26">
        <f t="shared" si="9"/>
        <v>0</v>
      </c>
      <c r="I234" s="26" t="e">
        <f t="shared" si="8"/>
        <v>#DIV/0!</v>
      </c>
    </row>
    <row r="235" spans="1:9" ht="20.25" customHeight="1" hidden="1">
      <c r="A235" s="285" t="s">
        <v>1147</v>
      </c>
      <c r="B235" s="23"/>
      <c r="C235" s="24" t="s">
        <v>1152</v>
      </c>
      <c r="D235" s="24" t="s">
        <v>642</v>
      </c>
      <c r="E235" s="24" t="s">
        <v>1153</v>
      </c>
      <c r="F235" s="29" t="s">
        <v>1148</v>
      </c>
      <c r="G235" s="26"/>
      <c r="H235" s="26"/>
      <c r="I235" s="26" t="e">
        <f t="shared" si="8"/>
        <v>#DIV/0!</v>
      </c>
    </row>
    <row r="236" spans="1:9" ht="20.25" customHeight="1">
      <c r="A236" s="291" t="s">
        <v>647</v>
      </c>
      <c r="B236" s="36"/>
      <c r="C236" s="37" t="s">
        <v>1140</v>
      </c>
      <c r="D236" s="37" t="s">
        <v>1163</v>
      </c>
      <c r="E236" s="37"/>
      <c r="F236" s="28"/>
      <c r="G236" s="26">
        <f>SUM(G237)</f>
        <v>411.2</v>
      </c>
      <c r="H236" s="26">
        <f>SUM(H237)</f>
        <v>4219.8</v>
      </c>
      <c r="I236" s="26">
        <f t="shared" si="8"/>
        <v>1026.215953307393</v>
      </c>
    </row>
    <row r="237" spans="1:9" ht="18.75" customHeight="1">
      <c r="A237" s="291" t="s">
        <v>647</v>
      </c>
      <c r="B237" s="36"/>
      <c r="C237" s="37" t="s">
        <v>1140</v>
      </c>
      <c r="D237" s="37" t="s">
        <v>1163</v>
      </c>
      <c r="E237" s="37" t="s">
        <v>648</v>
      </c>
      <c r="F237" s="28"/>
      <c r="G237" s="26">
        <f>SUM(G238+G240)</f>
        <v>411.2</v>
      </c>
      <c r="H237" s="26">
        <f>SUM(H238+H240)</f>
        <v>4219.8</v>
      </c>
      <c r="I237" s="26">
        <f t="shared" si="8"/>
        <v>1026.215953307393</v>
      </c>
    </row>
    <row r="238" spans="1:9" ht="28.5">
      <c r="A238" s="285" t="s">
        <v>649</v>
      </c>
      <c r="B238" s="36"/>
      <c r="C238" s="37" t="s">
        <v>1140</v>
      </c>
      <c r="D238" s="37" t="s">
        <v>1163</v>
      </c>
      <c r="E238" s="37" t="s">
        <v>650</v>
      </c>
      <c r="F238" s="28"/>
      <c r="G238" s="26">
        <f>SUM(G239:G239)</f>
        <v>411.2</v>
      </c>
      <c r="H238" s="26">
        <f>SUM(H239:H239)</f>
        <v>2142.4</v>
      </c>
      <c r="I238" s="26">
        <f t="shared" si="8"/>
        <v>521.011673151751</v>
      </c>
    </row>
    <row r="239" spans="1:9" ht="27.75" customHeight="1">
      <c r="A239" s="285" t="s">
        <v>1147</v>
      </c>
      <c r="B239" s="36"/>
      <c r="C239" s="37" t="s">
        <v>1140</v>
      </c>
      <c r="D239" s="37" t="s">
        <v>1163</v>
      </c>
      <c r="E239" s="37" t="s">
        <v>650</v>
      </c>
      <c r="F239" s="28" t="s">
        <v>1148</v>
      </c>
      <c r="G239" s="26">
        <f>361+50.2</f>
        <v>411.2</v>
      </c>
      <c r="H239" s="26">
        <v>2142.4</v>
      </c>
      <c r="I239" s="26">
        <f t="shared" si="8"/>
        <v>521.011673151751</v>
      </c>
    </row>
    <row r="240" spans="1:9" ht="15" hidden="1">
      <c r="A240" s="285" t="s">
        <v>651</v>
      </c>
      <c r="B240" s="36"/>
      <c r="C240" s="37" t="s">
        <v>1140</v>
      </c>
      <c r="D240" s="37" t="s">
        <v>1163</v>
      </c>
      <c r="E240" s="37" t="s">
        <v>652</v>
      </c>
      <c r="F240" s="28"/>
      <c r="G240" s="26">
        <f>SUM(G241)</f>
        <v>0</v>
      </c>
      <c r="H240" s="26">
        <f>SUM(H241)</f>
        <v>2077.4</v>
      </c>
      <c r="I240" s="26" t="e">
        <f t="shared" si="8"/>
        <v>#DIV/0!</v>
      </c>
    </row>
    <row r="241" spans="1:9" ht="15" hidden="1">
      <c r="A241" s="285" t="s">
        <v>1147</v>
      </c>
      <c r="B241" s="36"/>
      <c r="C241" s="37" t="s">
        <v>1140</v>
      </c>
      <c r="D241" s="37" t="s">
        <v>1163</v>
      </c>
      <c r="E241" s="37" t="s">
        <v>652</v>
      </c>
      <c r="F241" s="28" t="s">
        <v>1148</v>
      </c>
      <c r="G241" s="26"/>
      <c r="H241" s="26">
        <v>2077.4</v>
      </c>
      <c r="I241" s="26" t="e">
        <f t="shared" si="8"/>
        <v>#DIV/0!</v>
      </c>
    </row>
    <row r="242" spans="1:9" ht="21" customHeight="1">
      <c r="A242" s="285" t="s">
        <v>1156</v>
      </c>
      <c r="B242" s="23"/>
      <c r="C242" s="24" t="s">
        <v>1140</v>
      </c>
      <c r="D242" s="24" t="s">
        <v>111</v>
      </c>
      <c r="E242" s="24"/>
      <c r="F242" s="28"/>
      <c r="G242" s="26">
        <f>SUM(G243+G254+G257+G260+G263+G275+G251)+G248+G246</f>
        <v>6369.3</v>
      </c>
      <c r="H242" s="26">
        <f>SUM(H243+H254+H257+H260+H263+H275+H251)+H248+H246</f>
        <v>7230.699999999999</v>
      </c>
      <c r="I242" s="26">
        <f t="shared" si="8"/>
        <v>113.52424913255771</v>
      </c>
    </row>
    <row r="243" spans="1:9" ht="15" hidden="1">
      <c r="A243" s="285" t="s">
        <v>665</v>
      </c>
      <c r="B243" s="23"/>
      <c r="C243" s="24" t="s">
        <v>1140</v>
      </c>
      <c r="D243" s="24" t="s">
        <v>111</v>
      </c>
      <c r="E243" s="24" t="s">
        <v>666</v>
      </c>
      <c r="F243" s="25"/>
      <c r="G243" s="26">
        <f>SUM(G244)</f>
        <v>0</v>
      </c>
      <c r="H243" s="26">
        <f>SUM(H244)</f>
        <v>2749.5</v>
      </c>
      <c r="I243" s="26" t="e">
        <f t="shared" si="8"/>
        <v>#DIV/0!</v>
      </c>
    </row>
    <row r="244" spans="1:9" ht="15" hidden="1">
      <c r="A244" s="285" t="s">
        <v>135</v>
      </c>
      <c r="B244" s="23"/>
      <c r="C244" s="24" t="s">
        <v>1140</v>
      </c>
      <c r="D244" s="24" t="s">
        <v>111</v>
      </c>
      <c r="E244" s="24" t="s">
        <v>136</v>
      </c>
      <c r="F244" s="25"/>
      <c r="G244" s="26">
        <f>SUM(G245)</f>
        <v>0</v>
      </c>
      <c r="H244" s="26">
        <f>SUM(H245)</f>
        <v>2749.5</v>
      </c>
      <c r="I244" s="26" t="e">
        <f aca="true" t="shared" si="10" ref="I244:I307">SUM(H244/G244*100)</f>
        <v>#DIV/0!</v>
      </c>
    </row>
    <row r="245" spans="1:9" ht="27" customHeight="1" hidden="1">
      <c r="A245" s="285" t="s">
        <v>1147</v>
      </c>
      <c r="B245" s="23"/>
      <c r="C245" s="24" t="s">
        <v>1140</v>
      </c>
      <c r="D245" s="24" t="s">
        <v>111</v>
      </c>
      <c r="E245" s="24" t="s">
        <v>136</v>
      </c>
      <c r="F245" s="25" t="s">
        <v>1148</v>
      </c>
      <c r="G245" s="26"/>
      <c r="H245" s="26">
        <v>2749.5</v>
      </c>
      <c r="I245" s="26" t="e">
        <f t="shared" si="10"/>
        <v>#DIV/0!</v>
      </c>
    </row>
    <row r="246" spans="1:9" ht="27" customHeight="1" hidden="1">
      <c r="A246" s="285" t="s">
        <v>137</v>
      </c>
      <c r="B246" s="23"/>
      <c r="C246" s="24" t="s">
        <v>1140</v>
      </c>
      <c r="D246" s="24" t="s">
        <v>111</v>
      </c>
      <c r="E246" s="24" t="s">
        <v>138</v>
      </c>
      <c r="F246" s="25"/>
      <c r="G246" s="26">
        <f>SUM(G247)</f>
        <v>0</v>
      </c>
      <c r="H246" s="26">
        <f>SUM(H247)</f>
        <v>0</v>
      </c>
      <c r="I246" s="26" t="e">
        <f t="shared" si="10"/>
        <v>#DIV/0!</v>
      </c>
    </row>
    <row r="247" spans="1:9" ht="27" customHeight="1" hidden="1">
      <c r="A247" s="285" t="s">
        <v>1147</v>
      </c>
      <c r="B247" s="23"/>
      <c r="C247" s="24" t="s">
        <v>1140</v>
      </c>
      <c r="D247" s="24" t="s">
        <v>111</v>
      </c>
      <c r="E247" s="24" t="s">
        <v>138</v>
      </c>
      <c r="F247" s="25" t="s">
        <v>1148</v>
      </c>
      <c r="G247" s="26"/>
      <c r="H247" s="26"/>
      <c r="I247" s="26" t="e">
        <f t="shared" si="10"/>
        <v>#DIV/0!</v>
      </c>
    </row>
    <row r="248" spans="1:9" ht="27" customHeight="1" hidden="1">
      <c r="A248" s="285" t="s">
        <v>665</v>
      </c>
      <c r="B248" s="23"/>
      <c r="C248" s="24" t="s">
        <v>1140</v>
      </c>
      <c r="D248" s="24" t="s">
        <v>111</v>
      </c>
      <c r="E248" s="24" t="s">
        <v>1144</v>
      </c>
      <c r="F248" s="28"/>
      <c r="G248" s="26">
        <f>SUM(G249)</f>
        <v>0</v>
      </c>
      <c r="H248" s="26">
        <f>SUM(H249)</f>
        <v>836.4</v>
      </c>
      <c r="I248" s="26" t="e">
        <f t="shared" si="10"/>
        <v>#DIV/0!</v>
      </c>
    </row>
    <row r="249" spans="1:9" ht="27" customHeight="1" hidden="1">
      <c r="A249" s="285" t="s">
        <v>139</v>
      </c>
      <c r="B249" s="23"/>
      <c r="C249" s="24" t="s">
        <v>1140</v>
      </c>
      <c r="D249" s="24" t="s">
        <v>111</v>
      </c>
      <c r="E249" s="24" t="s">
        <v>140</v>
      </c>
      <c r="F249" s="28"/>
      <c r="G249" s="26">
        <f>SUM(G250)</f>
        <v>0</v>
      </c>
      <c r="H249" s="26">
        <f>SUM(H250)</f>
        <v>836.4</v>
      </c>
      <c r="I249" s="26" t="e">
        <f t="shared" si="10"/>
        <v>#DIV/0!</v>
      </c>
    </row>
    <row r="250" spans="1:9" ht="27" customHeight="1" hidden="1">
      <c r="A250" s="297" t="s">
        <v>141</v>
      </c>
      <c r="B250" s="23"/>
      <c r="C250" s="24" t="s">
        <v>1140</v>
      </c>
      <c r="D250" s="24" t="s">
        <v>111</v>
      </c>
      <c r="E250" s="24" t="s">
        <v>140</v>
      </c>
      <c r="F250" s="28" t="s">
        <v>142</v>
      </c>
      <c r="G250" s="26"/>
      <c r="H250" s="26">
        <v>836.4</v>
      </c>
      <c r="I250" s="26" t="e">
        <f t="shared" si="10"/>
        <v>#DIV/0!</v>
      </c>
    </row>
    <row r="251" spans="1:9" ht="20.25" customHeight="1" hidden="1">
      <c r="A251" s="285" t="s">
        <v>660</v>
      </c>
      <c r="B251" s="23"/>
      <c r="C251" s="24" t="s">
        <v>1140</v>
      </c>
      <c r="D251" s="24" t="s">
        <v>111</v>
      </c>
      <c r="E251" s="24" t="s">
        <v>662</v>
      </c>
      <c r="F251" s="25"/>
      <c r="G251" s="26">
        <f>SUM(G253)</f>
        <v>0</v>
      </c>
      <c r="H251" s="26">
        <f>SUM(H253)</f>
        <v>536.9</v>
      </c>
      <c r="I251" s="26" t="e">
        <f t="shared" si="10"/>
        <v>#DIV/0!</v>
      </c>
    </row>
    <row r="252" spans="1:9" ht="19.5" customHeight="1" hidden="1">
      <c r="A252" s="285" t="s">
        <v>638</v>
      </c>
      <c r="B252" s="23"/>
      <c r="C252" s="24" t="s">
        <v>1140</v>
      </c>
      <c r="D252" s="24" t="s">
        <v>111</v>
      </c>
      <c r="E252" s="24" t="s">
        <v>639</v>
      </c>
      <c r="F252" s="25"/>
      <c r="G252" s="26">
        <f>SUM(G253)</f>
        <v>0</v>
      </c>
      <c r="H252" s="26">
        <f>SUM(H253)</f>
        <v>536.9</v>
      </c>
      <c r="I252" s="26" t="e">
        <f t="shared" si="10"/>
        <v>#DIV/0!</v>
      </c>
    </row>
    <row r="253" spans="1:9" ht="32.25" customHeight="1" hidden="1">
      <c r="A253" s="285" t="s">
        <v>1147</v>
      </c>
      <c r="B253" s="23"/>
      <c r="C253" s="24" t="s">
        <v>1140</v>
      </c>
      <c r="D253" s="24" t="s">
        <v>111</v>
      </c>
      <c r="E253" s="24" t="s">
        <v>639</v>
      </c>
      <c r="F253" s="25" t="s">
        <v>1148</v>
      </c>
      <c r="G253" s="26"/>
      <c r="H253" s="26">
        <f>423.2+113.7</f>
        <v>536.9</v>
      </c>
      <c r="I253" s="26" t="e">
        <f t="shared" si="10"/>
        <v>#DIV/0!</v>
      </c>
    </row>
    <row r="254" spans="1:9" ht="46.5" customHeight="1" hidden="1">
      <c r="A254" s="287" t="s">
        <v>143</v>
      </c>
      <c r="B254" s="23"/>
      <c r="C254" s="24" t="s">
        <v>1140</v>
      </c>
      <c r="D254" s="24" t="s">
        <v>111</v>
      </c>
      <c r="E254" s="24" t="s">
        <v>1170</v>
      </c>
      <c r="F254" s="25"/>
      <c r="G254" s="26">
        <f>SUM(G255)</f>
        <v>0</v>
      </c>
      <c r="H254" s="26">
        <f>SUM(H255)</f>
        <v>917.7</v>
      </c>
      <c r="I254" s="26" t="e">
        <f t="shared" si="10"/>
        <v>#DIV/0!</v>
      </c>
    </row>
    <row r="255" spans="1:9" ht="28.5" customHeight="1" hidden="1">
      <c r="A255" s="287" t="s">
        <v>1171</v>
      </c>
      <c r="B255" s="23"/>
      <c r="C255" s="24" t="s">
        <v>1140</v>
      </c>
      <c r="D255" s="24" t="s">
        <v>111</v>
      </c>
      <c r="E255" s="24" t="s">
        <v>144</v>
      </c>
      <c r="F255" s="25"/>
      <c r="G255" s="26">
        <f>SUM(G256)</f>
        <v>0</v>
      </c>
      <c r="H255" s="26">
        <f>SUM(H256)</f>
        <v>917.7</v>
      </c>
      <c r="I255" s="26" t="e">
        <f t="shared" si="10"/>
        <v>#DIV/0!</v>
      </c>
    </row>
    <row r="256" spans="1:9" ht="26.25" customHeight="1" hidden="1">
      <c r="A256" s="285" t="s">
        <v>1147</v>
      </c>
      <c r="B256" s="23"/>
      <c r="C256" s="24" t="s">
        <v>1140</v>
      </c>
      <c r="D256" s="24" t="s">
        <v>111</v>
      </c>
      <c r="E256" s="24" t="s">
        <v>144</v>
      </c>
      <c r="F256" s="25" t="s">
        <v>1148</v>
      </c>
      <c r="G256" s="26"/>
      <c r="H256" s="26">
        <v>917.7</v>
      </c>
      <c r="I256" s="26" t="e">
        <f t="shared" si="10"/>
        <v>#DIV/0!</v>
      </c>
    </row>
    <row r="257" spans="1:9" ht="33" customHeight="1">
      <c r="A257" s="285" t="s">
        <v>1158</v>
      </c>
      <c r="B257" s="23"/>
      <c r="C257" s="24" t="s">
        <v>1140</v>
      </c>
      <c r="D257" s="24" t="s">
        <v>111</v>
      </c>
      <c r="E257" s="24" t="s">
        <v>1159</v>
      </c>
      <c r="F257" s="29"/>
      <c r="G257" s="26">
        <f>SUM(G258)</f>
        <v>3997.8</v>
      </c>
      <c r="H257" s="26">
        <f>SUM(H258)</f>
        <v>872.8</v>
      </c>
      <c r="I257" s="26">
        <f t="shared" si="10"/>
        <v>21.832007604182298</v>
      </c>
    </row>
    <row r="258" spans="1:9" ht="19.5" customHeight="1">
      <c r="A258" s="285" t="s">
        <v>1160</v>
      </c>
      <c r="B258" s="23"/>
      <c r="C258" s="24" t="s">
        <v>1140</v>
      </c>
      <c r="D258" s="24" t="s">
        <v>111</v>
      </c>
      <c r="E258" s="24" t="s">
        <v>145</v>
      </c>
      <c r="F258" s="29"/>
      <c r="G258" s="26">
        <f>SUM(G259)</f>
        <v>3997.8</v>
      </c>
      <c r="H258" s="26">
        <f>SUM(H259)</f>
        <v>872.8</v>
      </c>
      <c r="I258" s="26">
        <f t="shared" si="10"/>
        <v>21.832007604182298</v>
      </c>
    </row>
    <row r="259" spans="1:9" ht="27" customHeight="1">
      <c r="A259" s="285" t="s">
        <v>1147</v>
      </c>
      <c r="B259" s="23"/>
      <c r="C259" s="24" t="s">
        <v>1140</v>
      </c>
      <c r="D259" s="24" t="s">
        <v>111</v>
      </c>
      <c r="E259" s="24" t="s">
        <v>145</v>
      </c>
      <c r="F259" s="29" t="s">
        <v>1148</v>
      </c>
      <c r="G259" s="26">
        <f>4048-50.2</f>
        <v>3997.8</v>
      </c>
      <c r="H259" s="26">
        <v>872.8</v>
      </c>
      <c r="I259" s="26">
        <f t="shared" si="10"/>
        <v>21.832007604182298</v>
      </c>
    </row>
    <row r="260" spans="1:9" ht="28.5" hidden="1">
      <c r="A260" s="291" t="s">
        <v>146</v>
      </c>
      <c r="B260" s="23"/>
      <c r="C260" s="24" t="s">
        <v>1140</v>
      </c>
      <c r="D260" s="24" t="s">
        <v>111</v>
      </c>
      <c r="E260" s="24" t="s">
        <v>1071</v>
      </c>
      <c r="F260" s="25"/>
      <c r="G260" s="26">
        <f>SUM(G262)</f>
        <v>0</v>
      </c>
      <c r="H260" s="26">
        <f>SUM(H262)</f>
        <v>0</v>
      </c>
      <c r="I260" s="26" t="e">
        <f t="shared" si="10"/>
        <v>#DIV/0!</v>
      </c>
    </row>
    <row r="261" spans="1:9" ht="28.5" hidden="1">
      <c r="A261" s="291" t="s">
        <v>196</v>
      </c>
      <c r="B261" s="23"/>
      <c r="C261" s="24" t="s">
        <v>1140</v>
      </c>
      <c r="D261" s="24" t="s">
        <v>111</v>
      </c>
      <c r="E261" s="24" t="s">
        <v>197</v>
      </c>
      <c r="F261" s="25"/>
      <c r="G261" s="26">
        <f>SUM(G262)</f>
        <v>0</v>
      </c>
      <c r="H261" s="26">
        <f>SUM(H262)</f>
        <v>0</v>
      </c>
      <c r="I261" s="26" t="e">
        <f t="shared" si="10"/>
        <v>#DIV/0!</v>
      </c>
    </row>
    <row r="262" spans="1:9" ht="15" hidden="1">
      <c r="A262" s="291" t="s">
        <v>198</v>
      </c>
      <c r="B262" s="23"/>
      <c r="C262" s="24" t="s">
        <v>1140</v>
      </c>
      <c r="D262" s="24" t="s">
        <v>111</v>
      </c>
      <c r="E262" s="24" t="s">
        <v>197</v>
      </c>
      <c r="F262" s="25" t="s">
        <v>199</v>
      </c>
      <c r="G262" s="26"/>
      <c r="H262" s="26"/>
      <c r="I262" s="26" t="e">
        <f t="shared" si="10"/>
        <v>#DIV/0!</v>
      </c>
    </row>
    <row r="263" spans="1:9" ht="28.5">
      <c r="A263" s="291" t="s">
        <v>1178</v>
      </c>
      <c r="B263" s="23"/>
      <c r="C263" s="24" t="s">
        <v>1140</v>
      </c>
      <c r="D263" s="24" t="s">
        <v>111</v>
      </c>
      <c r="E263" s="37" t="s">
        <v>200</v>
      </c>
      <c r="F263" s="28"/>
      <c r="G263" s="26">
        <f>SUM(G264)</f>
        <v>2371.5</v>
      </c>
      <c r="H263" s="26">
        <f>SUM(H264)</f>
        <v>1317.4</v>
      </c>
      <c r="I263" s="26">
        <f t="shared" si="10"/>
        <v>55.55133881509593</v>
      </c>
    </row>
    <row r="264" spans="1:9" ht="27.75" customHeight="1">
      <c r="A264" s="285" t="s">
        <v>1016</v>
      </c>
      <c r="B264" s="23"/>
      <c r="C264" s="24" t="s">
        <v>1140</v>
      </c>
      <c r="D264" s="24" t="s">
        <v>111</v>
      </c>
      <c r="E264" s="37" t="s">
        <v>753</v>
      </c>
      <c r="F264" s="28"/>
      <c r="G264" s="26">
        <f>SUM(G268)+G266+G269+G271+G273</f>
        <v>2371.5</v>
      </c>
      <c r="H264" s="26">
        <f>SUM(H268)</f>
        <v>1317.4</v>
      </c>
      <c r="I264" s="26">
        <f t="shared" si="10"/>
        <v>55.55133881509593</v>
      </c>
    </row>
    <row r="265" spans="1:9" ht="72" customHeight="1" hidden="1">
      <c r="A265" s="285" t="s">
        <v>1184</v>
      </c>
      <c r="B265" s="23"/>
      <c r="C265" s="24" t="s">
        <v>1140</v>
      </c>
      <c r="D265" s="24" t="s">
        <v>111</v>
      </c>
      <c r="E265" s="24" t="s">
        <v>777</v>
      </c>
      <c r="F265" s="25"/>
      <c r="G265" s="26">
        <f>SUM(G266)</f>
        <v>0</v>
      </c>
      <c r="H265" s="26">
        <v>41.9</v>
      </c>
      <c r="I265" s="26" t="e">
        <f t="shared" si="10"/>
        <v>#DIV/0!</v>
      </c>
    </row>
    <row r="266" spans="1:9" ht="57.75" customHeight="1" hidden="1">
      <c r="A266" s="285" t="s">
        <v>1018</v>
      </c>
      <c r="B266" s="23"/>
      <c r="C266" s="24" t="s">
        <v>1140</v>
      </c>
      <c r="D266" s="24" t="s">
        <v>111</v>
      </c>
      <c r="E266" s="37" t="s">
        <v>777</v>
      </c>
      <c r="F266" s="28" t="s">
        <v>73</v>
      </c>
      <c r="G266" s="26"/>
      <c r="H266" s="26">
        <v>1317.4</v>
      </c>
      <c r="I266" s="26" t="e">
        <f>SUM(H266/G266*100)</f>
        <v>#DIV/0!</v>
      </c>
    </row>
    <row r="267" spans="1:9" ht="28.5">
      <c r="A267" s="285" t="s">
        <v>754</v>
      </c>
      <c r="B267" s="23"/>
      <c r="C267" s="24" t="s">
        <v>1140</v>
      </c>
      <c r="D267" s="24" t="s">
        <v>111</v>
      </c>
      <c r="E267" s="37" t="s">
        <v>755</v>
      </c>
      <c r="F267" s="28"/>
      <c r="G267" s="26">
        <f>SUM(G268)</f>
        <v>2290.8</v>
      </c>
      <c r="H267" s="26"/>
      <c r="I267" s="26"/>
    </row>
    <row r="268" spans="1:9" ht="52.5" customHeight="1">
      <c r="A268" s="285" t="s">
        <v>1017</v>
      </c>
      <c r="B268" s="23"/>
      <c r="C268" s="24" t="s">
        <v>1140</v>
      </c>
      <c r="D268" s="24" t="s">
        <v>111</v>
      </c>
      <c r="E268" s="37" t="s">
        <v>755</v>
      </c>
      <c r="F268" s="28" t="s">
        <v>496</v>
      </c>
      <c r="G268" s="26">
        <v>2290.8</v>
      </c>
      <c r="H268" s="26">
        <v>1317.4</v>
      </c>
      <c r="I268" s="26">
        <f t="shared" si="10"/>
        <v>57.50829404574821</v>
      </c>
    </row>
    <row r="269" spans="1:9" ht="31.5" customHeight="1">
      <c r="A269" s="285" t="s">
        <v>316</v>
      </c>
      <c r="B269" s="23"/>
      <c r="C269" s="24" t="s">
        <v>1140</v>
      </c>
      <c r="D269" s="24" t="s">
        <v>111</v>
      </c>
      <c r="E269" s="24" t="s">
        <v>673</v>
      </c>
      <c r="F269" s="25"/>
      <c r="G269" s="26">
        <f>SUM(G270)</f>
        <v>2.7</v>
      </c>
      <c r="H269" s="26"/>
      <c r="I269" s="26"/>
    </row>
    <row r="270" spans="1:9" ht="31.5" customHeight="1">
      <c r="A270" s="285" t="s">
        <v>316</v>
      </c>
      <c r="B270" s="23"/>
      <c r="C270" s="24" t="s">
        <v>1140</v>
      </c>
      <c r="D270" s="24" t="s">
        <v>111</v>
      </c>
      <c r="E270" s="24" t="s">
        <v>673</v>
      </c>
      <c r="F270" s="25" t="s">
        <v>772</v>
      </c>
      <c r="G270" s="26">
        <v>2.7</v>
      </c>
      <c r="H270" s="26"/>
      <c r="I270" s="26"/>
    </row>
    <row r="271" spans="1:9" ht="38.25" customHeight="1">
      <c r="A271" s="285" t="s">
        <v>378</v>
      </c>
      <c r="B271" s="23"/>
      <c r="C271" s="24" t="s">
        <v>1140</v>
      </c>
      <c r="D271" s="24" t="s">
        <v>111</v>
      </c>
      <c r="E271" s="24" t="s">
        <v>674</v>
      </c>
      <c r="F271" s="25"/>
      <c r="G271" s="26">
        <f>SUM(G272)</f>
        <v>63</v>
      </c>
      <c r="H271" s="26"/>
      <c r="I271" s="26"/>
    </row>
    <row r="272" spans="1:9" ht="29.25" customHeight="1">
      <c r="A272" s="285" t="s">
        <v>316</v>
      </c>
      <c r="B272" s="23"/>
      <c r="C272" s="24" t="s">
        <v>1140</v>
      </c>
      <c r="D272" s="24" t="s">
        <v>111</v>
      </c>
      <c r="E272" s="24" t="s">
        <v>674</v>
      </c>
      <c r="F272" s="25" t="s">
        <v>772</v>
      </c>
      <c r="G272" s="26">
        <v>63</v>
      </c>
      <c r="H272" s="26"/>
      <c r="I272" s="26"/>
    </row>
    <row r="273" spans="1:9" ht="38.25" customHeight="1">
      <c r="A273" s="285" t="s">
        <v>672</v>
      </c>
      <c r="B273" s="23"/>
      <c r="C273" s="24" t="s">
        <v>1140</v>
      </c>
      <c r="D273" s="24" t="s">
        <v>111</v>
      </c>
      <c r="E273" s="24" t="s">
        <v>671</v>
      </c>
      <c r="F273" s="25"/>
      <c r="G273" s="26">
        <f>SUM(G274)</f>
        <v>15</v>
      </c>
      <c r="H273" s="26"/>
      <c r="I273" s="26"/>
    </row>
    <row r="274" spans="1:9" ht="29.25" customHeight="1">
      <c r="A274" s="285" t="s">
        <v>316</v>
      </c>
      <c r="B274" s="23"/>
      <c r="C274" s="24" t="s">
        <v>1140</v>
      </c>
      <c r="D274" s="24" t="s">
        <v>111</v>
      </c>
      <c r="E274" s="24" t="s">
        <v>671</v>
      </c>
      <c r="F274" s="25" t="s">
        <v>772</v>
      </c>
      <c r="G274" s="26">
        <v>15</v>
      </c>
      <c r="H274" s="26"/>
      <c r="I274" s="26"/>
    </row>
    <row r="275" spans="1:9" ht="21.75" customHeight="1" hidden="1">
      <c r="A275" s="285" t="s">
        <v>1186</v>
      </c>
      <c r="B275" s="23"/>
      <c r="C275" s="24" t="s">
        <v>1140</v>
      </c>
      <c r="D275" s="24" t="s">
        <v>111</v>
      </c>
      <c r="E275" s="24" t="s">
        <v>1187</v>
      </c>
      <c r="F275" s="29"/>
      <c r="G275" s="26">
        <f>SUM(G276)</f>
        <v>0</v>
      </c>
      <c r="H275" s="26">
        <f>SUM(H276)</f>
        <v>0</v>
      </c>
      <c r="I275" s="26" t="e">
        <f t="shared" si="10"/>
        <v>#DIV/0!</v>
      </c>
    </row>
    <row r="276" spans="1:9" ht="30" customHeight="1" hidden="1">
      <c r="A276" s="285" t="s">
        <v>1147</v>
      </c>
      <c r="B276" s="23"/>
      <c r="C276" s="24" t="s">
        <v>1140</v>
      </c>
      <c r="D276" s="24" t="s">
        <v>111</v>
      </c>
      <c r="E276" s="24" t="s">
        <v>1187</v>
      </c>
      <c r="F276" s="29" t="s">
        <v>1148</v>
      </c>
      <c r="G276" s="26">
        <f>SUM(G277:G278)</f>
        <v>0</v>
      </c>
      <c r="H276" s="26">
        <f>SUM(H277:H278)</f>
        <v>0</v>
      </c>
      <c r="I276" s="26" t="e">
        <f t="shared" si="10"/>
        <v>#DIV/0!</v>
      </c>
    </row>
    <row r="277" spans="1:9" ht="22.5" customHeight="1" hidden="1">
      <c r="A277" s="285" t="s">
        <v>202</v>
      </c>
      <c r="B277" s="23"/>
      <c r="C277" s="24" t="s">
        <v>1140</v>
      </c>
      <c r="D277" s="24" t="s">
        <v>111</v>
      </c>
      <c r="E277" s="24" t="s">
        <v>203</v>
      </c>
      <c r="F277" s="29" t="s">
        <v>1148</v>
      </c>
      <c r="G277" s="26"/>
      <c r="H277" s="26"/>
      <c r="I277" s="26" t="e">
        <f t="shared" si="10"/>
        <v>#DIV/0!</v>
      </c>
    </row>
    <row r="278" spans="1:9" ht="0.75" customHeight="1" hidden="1">
      <c r="A278" s="285" t="s">
        <v>204</v>
      </c>
      <c r="B278" s="23"/>
      <c r="C278" s="24" t="s">
        <v>1140</v>
      </c>
      <c r="D278" s="24" t="s">
        <v>664</v>
      </c>
      <c r="E278" s="24" t="s">
        <v>205</v>
      </c>
      <c r="F278" s="29" t="s">
        <v>1148</v>
      </c>
      <c r="G278" s="26"/>
      <c r="H278" s="26"/>
      <c r="I278" s="26" t="e">
        <f t="shared" si="10"/>
        <v>#DIV/0!</v>
      </c>
    </row>
    <row r="279" spans="1:9" ht="24.75" customHeight="1">
      <c r="A279" s="285" t="s">
        <v>206</v>
      </c>
      <c r="B279" s="23"/>
      <c r="C279" s="37" t="s">
        <v>1150</v>
      </c>
      <c r="D279" s="37"/>
      <c r="E279" s="37"/>
      <c r="F279" s="28"/>
      <c r="G279" s="26">
        <f>SUM(G284)+G280+G302</f>
        <v>24290.600000000002</v>
      </c>
      <c r="H279" s="26">
        <f>SUM(H284)+H281+H302</f>
        <v>15879.199999999997</v>
      </c>
      <c r="I279" s="26">
        <f t="shared" si="10"/>
        <v>65.37178991050034</v>
      </c>
    </row>
    <row r="280" spans="1:9" s="39" customFormat="1" ht="18.75" customHeight="1">
      <c r="A280" s="285" t="s">
        <v>499</v>
      </c>
      <c r="B280" s="36"/>
      <c r="C280" s="37" t="s">
        <v>1150</v>
      </c>
      <c r="D280" s="37" t="s">
        <v>1174</v>
      </c>
      <c r="E280" s="37"/>
      <c r="F280" s="28"/>
      <c r="G280" s="26">
        <f>SUM(G282)</f>
        <v>6239.7</v>
      </c>
      <c r="H280" s="26">
        <f>SUM(H282)</f>
        <v>0</v>
      </c>
      <c r="I280" s="26">
        <f t="shared" si="10"/>
        <v>0</v>
      </c>
    </row>
    <row r="281" spans="1:9" s="39" customFormat="1" ht="27.75" customHeight="1">
      <c r="A281" s="291" t="s">
        <v>665</v>
      </c>
      <c r="B281" s="36"/>
      <c r="C281" s="37" t="s">
        <v>1150</v>
      </c>
      <c r="D281" s="37" t="s">
        <v>1174</v>
      </c>
      <c r="E281" s="37" t="s">
        <v>666</v>
      </c>
      <c r="F281" s="28"/>
      <c r="G281" s="26">
        <f>SUM(G282)</f>
        <v>6239.7</v>
      </c>
      <c r="H281" s="26"/>
      <c r="I281" s="26"/>
    </row>
    <row r="282" spans="1:9" s="39" customFormat="1" ht="15">
      <c r="A282" s="291" t="s">
        <v>135</v>
      </c>
      <c r="B282" s="36"/>
      <c r="C282" s="37" t="s">
        <v>1150</v>
      </c>
      <c r="D282" s="37" t="s">
        <v>1174</v>
      </c>
      <c r="E282" s="37" t="s">
        <v>136</v>
      </c>
      <c r="F282" s="28"/>
      <c r="G282" s="26">
        <f>SUM(G283)</f>
        <v>6239.7</v>
      </c>
      <c r="H282" s="26">
        <f>SUM(H283)</f>
        <v>0</v>
      </c>
      <c r="I282" s="26">
        <f t="shared" si="10"/>
        <v>0</v>
      </c>
    </row>
    <row r="283" spans="1:9" s="39" customFormat="1" ht="15">
      <c r="A283" s="291" t="s">
        <v>1147</v>
      </c>
      <c r="B283" s="36"/>
      <c r="C283" s="37" t="s">
        <v>1150</v>
      </c>
      <c r="D283" s="37" t="s">
        <v>1174</v>
      </c>
      <c r="E283" s="37" t="s">
        <v>136</v>
      </c>
      <c r="F283" s="28" t="s">
        <v>1148</v>
      </c>
      <c r="G283" s="26">
        <v>6239.7</v>
      </c>
      <c r="H283" s="26"/>
      <c r="I283" s="26">
        <f t="shared" si="10"/>
        <v>0</v>
      </c>
    </row>
    <row r="284" spans="1:9" ht="39.75" customHeight="1">
      <c r="A284" s="287" t="s">
        <v>970</v>
      </c>
      <c r="B284" s="23"/>
      <c r="C284" s="37" t="s">
        <v>1150</v>
      </c>
      <c r="D284" s="37" t="s">
        <v>971</v>
      </c>
      <c r="E284" s="37"/>
      <c r="F284" s="28"/>
      <c r="G284" s="26">
        <f>SUM(G288+G293+G296+G299)+G286</f>
        <v>18050.9</v>
      </c>
      <c r="H284" s="26">
        <f>SUM(H288+H293+H296+H299)+H286</f>
        <v>15879.199999999997</v>
      </c>
      <c r="I284" s="26">
        <f t="shared" si="10"/>
        <v>87.9690209352442</v>
      </c>
    </row>
    <row r="285" spans="1:9" s="58" customFormat="1" ht="16.5" customHeight="1" hidden="1">
      <c r="A285" s="285" t="s">
        <v>660</v>
      </c>
      <c r="B285" s="23"/>
      <c r="C285" s="37" t="s">
        <v>1150</v>
      </c>
      <c r="D285" s="37" t="s">
        <v>971</v>
      </c>
      <c r="E285" s="37" t="s">
        <v>662</v>
      </c>
      <c r="F285" s="28"/>
      <c r="G285" s="26">
        <f>SUM(G286)</f>
        <v>0</v>
      </c>
      <c r="H285" s="26">
        <f>SUM(H286)</f>
        <v>0</v>
      </c>
      <c r="I285" s="26" t="e">
        <f t="shared" si="10"/>
        <v>#DIV/0!</v>
      </c>
    </row>
    <row r="286" spans="1:9" ht="21.75" customHeight="1" hidden="1">
      <c r="A286" s="285" t="s">
        <v>638</v>
      </c>
      <c r="B286" s="23"/>
      <c r="C286" s="37" t="s">
        <v>1150</v>
      </c>
      <c r="D286" s="37" t="s">
        <v>971</v>
      </c>
      <c r="E286" s="37" t="s">
        <v>639</v>
      </c>
      <c r="F286" s="28"/>
      <c r="G286" s="26">
        <f>SUM(G287)</f>
        <v>0</v>
      </c>
      <c r="H286" s="26">
        <f>SUM(H287)</f>
        <v>0</v>
      </c>
      <c r="I286" s="26" t="e">
        <f t="shared" si="10"/>
        <v>#DIV/0!</v>
      </c>
    </row>
    <row r="287" spans="1:9" ht="15" hidden="1">
      <c r="A287" s="285" t="s">
        <v>1147</v>
      </c>
      <c r="B287" s="23"/>
      <c r="C287" s="37" t="s">
        <v>1150</v>
      </c>
      <c r="D287" s="37" t="s">
        <v>971</v>
      </c>
      <c r="E287" s="37" t="s">
        <v>639</v>
      </c>
      <c r="F287" s="28" t="s">
        <v>1148</v>
      </c>
      <c r="G287" s="26"/>
      <c r="H287" s="26"/>
      <c r="I287" s="26" t="e">
        <f t="shared" si="10"/>
        <v>#DIV/0!</v>
      </c>
    </row>
    <row r="288" spans="1:9" ht="34.5" customHeight="1">
      <c r="A288" s="287" t="s">
        <v>972</v>
      </c>
      <c r="B288" s="23"/>
      <c r="C288" s="37" t="s">
        <v>1150</v>
      </c>
      <c r="D288" s="37" t="s">
        <v>971</v>
      </c>
      <c r="E288" s="37" t="s">
        <v>973</v>
      </c>
      <c r="F288" s="28"/>
      <c r="G288" s="26">
        <f>SUM(G289+G291)</f>
        <v>5862.5</v>
      </c>
      <c r="H288" s="26">
        <f>SUM(H289+H291)</f>
        <v>10264.099999999999</v>
      </c>
      <c r="I288" s="26">
        <f t="shared" si="10"/>
        <v>175.08059701492536</v>
      </c>
    </row>
    <row r="289" spans="1:9" ht="28.5">
      <c r="A289" s="287" t="s">
        <v>974</v>
      </c>
      <c r="B289" s="23"/>
      <c r="C289" s="37" t="s">
        <v>1150</v>
      </c>
      <c r="D289" s="37" t="s">
        <v>971</v>
      </c>
      <c r="E289" s="37" t="s">
        <v>975</v>
      </c>
      <c r="F289" s="28"/>
      <c r="G289" s="26">
        <f>SUM(G290)</f>
        <v>3862.5</v>
      </c>
      <c r="H289" s="26">
        <f>SUM(H290)</f>
        <v>438.8</v>
      </c>
      <c r="I289" s="26">
        <f t="shared" si="10"/>
        <v>11.36051779935275</v>
      </c>
    </row>
    <row r="290" spans="1:9" ht="15">
      <c r="A290" s="285" t="s">
        <v>1147</v>
      </c>
      <c r="B290" s="23"/>
      <c r="C290" s="37" t="s">
        <v>1150</v>
      </c>
      <c r="D290" s="37" t="s">
        <v>971</v>
      </c>
      <c r="E290" s="37" t="s">
        <v>975</v>
      </c>
      <c r="F290" s="28" t="s">
        <v>1148</v>
      </c>
      <c r="G290" s="26">
        <f>2062.5+1800</f>
        <v>3862.5</v>
      </c>
      <c r="H290" s="26">
        <v>438.8</v>
      </c>
      <c r="I290" s="26">
        <f t="shared" si="10"/>
        <v>11.36051779935275</v>
      </c>
    </row>
    <row r="291" spans="1:9" ht="28.5">
      <c r="A291" s="285" t="s">
        <v>982</v>
      </c>
      <c r="B291" s="23"/>
      <c r="C291" s="37" t="s">
        <v>1150</v>
      </c>
      <c r="D291" s="37" t="s">
        <v>971</v>
      </c>
      <c r="E291" s="37" t="s">
        <v>983</v>
      </c>
      <c r="F291" s="37"/>
      <c r="G291" s="26">
        <f>SUM(G292)</f>
        <v>2000</v>
      </c>
      <c r="H291" s="26">
        <f>SUM(H292)</f>
        <v>9825.3</v>
      </c>
      <c r="I291" s="26">
        <f t="shared" si="10"/>
        <v>491.26499999999993</v>
      </c>
    </row>
    <row r="292" spans="1:9" ht="15">
      <c r="A292" s="285" t="s">
        <v>658</v>
      </c>
      <c r="B292" s="23"/>
      <c r="C292" s="37" t="s">
        <v>1150</v>
      </c>
      <c r="D292" s="37" t="s">
        <v>971</v>
      </c>
      <c r="E292" s="37" t="s">
        <v>983</v>
      </c>
      <c r="F292" s="37" t="s">
        <v>659</v>
      </c>
      <c r="G292" s="26">
        <v>2000</v>
      </c>
      <c r="H292" s="26">
        <v>9825.3</v>
      </c>
      <c r="I292" s="26">
        <f t="shared" si="10"/>
        <v>491.26499999999993</v>
      </c>
    </row>
    <row r="293" spans="1:9" ht="15">
      <c r="A293" s="287" t="s">
        <v>984</v>
      </c>
      <c r="B293" s="50"/>
      <c r="C293" s="50" t="s">
        <v>1150</v>
      </c>
      <c r="D293" s="50" t="s">
        <v>971</v>
      </c>
      <c r="E293" s="50" t="s">
        <v>985</v>
      </c>
      <c r="F293" s="55"/>
      <c r="G293" s="26">
        <f>SUM(G294)</f>
        <v>188.5</v>
      </c>
      <c r="H293" s="26">
        <f>SUM(H294)</f>
        <v>227.3</v>
      </c>
      <c r="I293" s="26">
        <f t="shared" si="10"/>
        <v>120.58355437665782</v>
      </c>
    </row>
    <row r="294" spans="1:9" ht="27" customHeight="1">
      <c r="A294" s="287" t="s">
        <v>986</v>
      </c>
      <c r="B294" s="50"/>
      <c r="C294" s="51" t="s">
        <v>1150</v>
      </c>
      <c r="D294" s="51" t="s">
        <v>971</v>
      </c>
      <c r="E294" s="51" t="s">
        <v>987</v>
      </c>
      <c r="F294" s="52"/>
      <c r="G294" s="26">
        <f>SUM(G295)</f>
        <v>188.5</v>
      </c>
      <c r="H294" s="26">
        <f>SUM(H295)</f>
        <v>227.3</v>
      </c>
      <c r="I294" s="26">
        <f t="shared" si="10"/>
        <v>120.58355437665782</v>
      </c>
    </row>
    <row r="295" spans="1:9" ht="19.5" customHeight="1">
      <c r="A295" s="285" t="s">
        <v>1147</v>
      </c>
      <c r="B295" s="50"/>
      <c r="C295" s="51" t="s">
        <v>1150</v>
      </c>
      <c r="D295" s="51" t="s">
        <v>971</v>
      </c>
      <c r="E295" s="51" t="s">
        <v>987</v>
      </c>
      <c r="F295" s="52" t="s">
        <v>1148</v>
      </c>
      <c r="G295" s="26">
        <v>188.5</v>
      </c>
      <c r="H295" s="26">
        <v>227.3</v>
      </c>
      <c r="I295" s="26">
        <f t="shared" si="10"/>
        <v>120.58355437665782</v>
      </c>
    </row>
    <row r="296" spans="1:9" ht="28.5">
      <c r="A296" s="285" t="s">
        <v>495</v>
      </c>
      <c r="B296" s="23"/>
      <c r="C296" s="37" t="s">
        <v>1150</v>
      </c>
      <c r="D296" s="37" t="s">
        <v>971</v>
      </c>
      <c r="E296" s="37" t="s">
        <v>988</v>
      </c>
      <c r="F296" s="28"/>
      <c r="G296" s="26">
        <f>SUM(G297)</f>
        <v>11999.9</v>
      </c>
      <c r="H296" s="26">
        <f>SUM(H297)</f>
        <v>5387.8</v>
      </c>
      <c r="I296" s="26">
        <f t="shared" si="10"/>
        <v>44.898707489229075</v>
      </c>
    </row>
    <row r="297" spans="1:9" ht="28.5">
      <c r="A297" s="285" t="s">
        <v>493</v>
      </c>
      <c r="B297" s="23"/>
      <c r="C297" s="37" t="s">
        <v>1150</v>
      </c>
      <c r="D297" s="37" t="s">
        <v>971</v>
      </c>
      <c r="E297" s="37" t="s">
        <v>989</v>
      </c>
      <c r="F297" s="28"/>
      <c r="G297" s="26">
        <f>SUM(G298)</f>
        <v>11999.9</v>
      </c>
      <c r="H297" s="26">
        <f>SUM(H298)</f>
        <v>5387.8</v>
      </c>
      <c r="I297" s="26">
        <f t="shared" si="10"/>
        <v>44.898707489229075</v>
      </c>
    </row>
    <row r="298" spans="1:9" ht="18" customHeight="1">
      <c r="A298" s="297" t="s">
        <v>494</v>
      </c>
      <c r="B298" s="56"/>
      <c r="C298" s="57" t="s">
        <v>1150</v>
      </c>
      <c r="D298" s="57" t="s">
        <v>971</v>
      </c>
      <c r="E298" s="57" t="s">
        <v>989</v>
      </c>
      <c r="F298" s="29" t="s">
        <v>1148</v>
      </c>
      <c r="G298" s="26">
        <v>11999.9</v>
      </c>
      <c r="H298" s="26">
        <v>5387.8</v>
      </c>
      <c r="I298" s="26">
        <f t="shared" si="10"/>
        <v>44.898707489229075</v>
      </c>
    </row>
    <row r="299" spans="1:9" ht="14.25" customHeight="1" hidden="1">
      <c r="A299" s="285" t="s">
        <v>990</v>
      </c>
      <c r="B299" s="56"/>
      <c r="C299" s="57" t="s">
        <v>1150</v>
      </c>
      <c r="D299" s="57" t="s">
        <v>971</v>
      </c>
      <c r="E299" s="57" t="s">
        <v>991</v>
      </c>
      <c r="F299" s="29"/>
      <c r="G299" s="26">
        <f>SUM(G301)</f>
        <v>0</v>
      </c>
      <c r="H299" s="26">
        <f>SUM(H301)</f>
        <v>0</v>
      </c>
      <c r="I299" s="26" t="e">
        <f t="shared" si="10"/>
        <v>#DIV/0!</v>
      </c>
    </row>
    <row r="300" spans="1:9" ht="57" hidden="1">
      <c r="A300" s="287" t="s">
        <v>992</v>
      </c>
      <c r="B300" s="23"/>
      <c r="C300" s="37" t="s">
        <v>1150</v>
      </c>
      <c r="D300" s="37" t="s">
        <v>971</v>
      </c>
      <c r="E300" s="51" t="s">
        <v>993</v>
      </c>
      <c r="F300" s="28"/>
      <c r="G300" s="26">
        <f>SUM(G301)</f>
        <v>0</v>
      </c>
      <c r="H300" s="26">
        <f>SUM(H301)</f>
        <v>0</v>
      </c>
      <c r="I300" s="26" t="e">
        <f t="shared" si="10"/>
        <v>#DIV/0!</v>
      </c>
    </row>
    <row r="301" spans="1:9" ht="57" customHeight="1" hidden="1">
      <c r="A301" s="287" t="s">
        <v>994</v>
      </c>
      <c r="B301" s="23"/>
      <c r="C301" s="37" t="s">
        <v>1150</v>
      </c>
      <c r="D301" s="37" t="s">
        <v>971</v>
      </c>
      <c r="E301" s="51" t="s">
        <v>993</v>
      </c>
      <c r="F301" s="28" t="s">
        <v>995</v>
      </c>
      <c r="G301" s="26"/>
      <c r="H301" s="26"/>
      <c r="I301" s="26" t="e">
        <f t="shared" si="10"/>
        <v>#DIV/0!</v>
      </c>
    </row>
    <row r="302" spans="1:9" ht="28.5" hidden="1">
      <c r="A302" s="287" t="s">
        <v>996</v>
      </c>
      <c r="B302" s="23"/>
      <c r="C302" s="37" t="s">
        <v>1150</v>
      </c>
      <c r="D302" s="37" t="s">
        <v>664</v>
      </c>
      <c r="E302" s="51"/>
      <c r="F302" s="28"/>
      <c r="G302" s="26">
        <f aca="true" t="shared" si="11" ref="G302:H304">SUM(G303)</f>
        <v>0</v>
      </c>
      <c r="H302" s="26">
        <f t="shared" si="11"/>
        <v>0</v>
      </c>
      <c r="I302" s="26" t="e">
        <f t="shared" si="10"/>
        <v>#DIV/0!</v>
      </c>
    </row>
    <row r="303" spans="1:9" ht="15" hidden="1">
      <c r="A303" s="287" t="s">
        <v>990</v>
      </c>
      <c r="B303" s="23"/>
      <c r="C303" s="37" t="s">
        <v>1150</v>
      </c>
      <c r="D303" s="37" t="s">
        <v>664</v>
      </c>
      <c r="E303" s="51" t="s">
        <v>991</v>
      </c>
      <c r="F303" s="28"/>
      <c r="G303" s="26">
        <f t="shared" si="11"/>
        <v>0</v>
      </c>
      <c r="H303" s="26">
        <f t="shared" si="11"/>
        <v>0</v>
      </c>
      <c r="I303" s="26" t="e">
        <f t="shared" si="10"/>
        <v>#DIV/0!</v>
      </c>
    </row>
    <row r="304" spans="1:9" ht="28.5" hidden="1">
      <c r="A304" s="287" t="s">
        <v>997</v>
      </c>
      <c r="B304" s="23"/>
      <c r="C304" s="37" t="s">
        <v>1150</v>
      </c>
      <c r="D304" s="37" t="s">
        <v>664</v>
      </c>
      <c r="E304" s="51" t="s">
        <v>993</v>
      </c>
      <c r="F304" s="28"/>
      <c r="G304" s="26">
        <f t="shared" si="11"/>
        <v>0</v>
      </c>
      <c r="H304" s="26">
        <f t="shared" si="11"/>
        <v>0</v>
      </c>
      <c r="I304" s="26" t="e">
        <f t="shared" si="10"/>
        <v>#DIV/0!</v>
      </c>
    </row>
    <row r="305" spans="1:9" ht="15" hidden="1">
      <c r="A305" s="291" t="s">
        <v>198</v>
      </c>
      <c r="B305" s="23"/>
      <c r="C305" s="37" t="s">
        <v>1150</v>
      </c>
      <c r="D305" s="37" t="s">
        <v>664</v>
      </c>
      <c r="E305" s="51" t="s">
        <v>993</v>
      </c>
      <c r="F305" s="28" t="s">
        <v>199</v>
      </c>
      <c r="G305" s="26"/>
      <c r="H305" s="26"/>
      <c r="I305" s="26" t="e">
        <f t="shared" si="10"/>
        <v>#DIV/0!</v>
      </c>
    </row>
    <row r="306" spans="1:9" ht="18.75" customHeight="1">
      <c r="A306" s="285" t="s">
        <v>1173</v>
      </c>
      <c r="B306" s="23"/>
      <c r="C306" s="24" t="s">
        <v>1174</v>
      </c>
      <c r="D306" s="24"/>
      <c r="E306" s="24"/>
      <c r="F306" s="25"/>
      <c r="G306" s="26">
        <f>SUM(G307+G316)</f>
        <v>14140.9</v>
      </c>
      <c r="H306" s="26" t="e">
        <f>SUM(H307+H316)</f>
        <v>#REF!</v>
      </c>
      <c r="I306" s="26" t="e">
        <f t="shared" si="10"/>
        <v>#REF!</v>
      </c>
    </row>
    <row r="307" spans="1:9" ht="15" hidden="1">
      <c r="A307" s="285" t="s">
        <v>1175</v>
      </c>
      <c r="B307" s="23"/>
      <c r="C307" s="24" t="s">
        <v>1174</v>
      </c>
      <c r="D307" s="24" t="s">
        <v>1176</v>
      </c>
      <c r="E307" s="24"/>
      <c r="F307" s="25"/>
      <c r="G307" s="26">
        <f>SUM(G311)+G308</f>
        <v>0</v>
      </c>
      <c r="H307" s="26">
        <f>SUM(H311)+H308</f>
        <v>53329</v>
      </c>
      <c r="I307" s="26" t="e">
        <f t="shared" si="10"/>
        <v>#DIV/0!</v>
      </c>
    </row>
    <row r="308" spans="1:9" ht="15" hidden="1">
      <c r="A308" s="285" t="s">
        <v>999</v>
      </c>
      <c r="B308" s="23"/>
      <c r="C308" s="24" t="s">
        <v>1174</v>
      </c>
      <c r="D308" s="24" t="s">
        <v>1176</v>
      </c>
      <c r="E308" s="37" t="s">
        <v>1000</v>
      </c>
      <c r="F308" s="28"/>
      <c r="G308" s="26">
        <f>SUM(G309)+G310</f>
        <v>0</v>
      </c>
      <c r="H308" s="26">
        <f>SUM(H309)+H310</f>
        <v>22622.6</v>
      </c>
      <c r="I308" s="26" t="e">
        <f aca="true" t="shared" si="12" ref="I308:I371">SUM(H308/G308*100)</f>
        <v>#DIV/0!</v>
      </c>
    </row>
    <row r="309" spans="1:9" ht="18" customHeight="1" hidden="1">
      <c r="A309" s="285" t="s">
        <v>1001</v>
      </c>
      <c r="B309" s="23"/>
      <c r="C309" s="24" t="s">
        <v>1174</v>
      </c>
      <c r="D309" s="24" t="s">
        <v>1176</v>
      </c>
      <c r="E309" s="37" t="s">
        <v>1000</v>
      </c>
      <c r="F309" s="25" t="s">
        <v>1002</v>
      </c>
      <c r="G309" s="26"/>
      <c r="H309" s="26">
        <v>22622.6</v>
      </c>
      <c r="I309" s="26" t="e">
        <f t="shared" si="12"/>
        <v>#DIV/0!</v>
      </c>
    </row>
    <row r="310" spans="1:9" ht="28.5" customHeight="1" hidden="1">
      <c r="A310" s="285" t="s">
        <v>1147</v>
      </c>
      <c r="B310" s="23"/>
      <c r="C310" s="24" t="s">
        <v>1174</v>
      </c>
      <c r="D310" s="24" t="s">
        <v>1176</v>
      </c>
      <c r="E310" s="37" t="s">
        <v>1000</v>
      </c>
      <c r="F310" s="25" t="s">
        <v>1148</v>
      </c>
      <c r="G310" s="26"/>
      <c r="H310" s="26"/>
      <c r="I310" s="26" t="e">
        <f t="shared" si="12"/>
        <v>#DIV/0!</v>
      </c>
    </row>
    <row r="311" spans="1:9" ht="18.75" customHeight="1" hidden="1">
      <c r="A311" s="285" t="s">
        <v>1177</v>
      </c>
      <c r="B311" s="23"/>
      <c r="C311" s="24" t="s">
        <v>1174</v>
      </c>
      <c r="D311" s="24" t="s">
        <v>1176</v>
      </c>
      <c r="E311" s="24" t="s">
        <v>32</v>
      </c>
      <c r="F311" s="25"/>
      <c r="G311" s="26">
        <f>SUM(G312)</f>
        <v>0</v>
      </c>
      <c r="H311" s="26">
        <f>SUM(H312)</f>
        <v>30706.4</v>
      </c>
      <c r="I311" s="26" t="e">
        <f t="shared" si="12"/>
        <v>#DIV/0!</v>
      </c>
    </row>
    <row r="312" spans="1:9" s="39" customFormat="1" ht="30" customHeight="1" hidden="1">
      <c r="A312" s="285" t="s">
        <v>33</v>
      </c>
      <c r="B312" s="23"/>
      <c r="C312" s="24" t="s">
        <v>1174</v>
      </c>
      <c r="D312" s="24" t="s">
        <v>1176</v>
      </c>
      <c r="E312" s="24" t="s">
        <v>1076</v>
      </c>
      <c r="F312" s="25"/>
      <c r="G312" s="26">
        <f>SUM(G313+G314)</f>
        <v>0</v>
      </c>
      <c r="H312" s="26">
        <f>SUM(H313+H314)</f>
        <v>30706.4</v>
      </c>
      <c r="I312" s="26" t="e">
        <f t="shared" si="12"/>
        <v>#DIV/0!</v>
      </c>
    </row>
    <row r="313" spans="1:9" ht="14.25" customHeight="1" hidden="1">
      <c r="A313" s="285" t="s">
        <v>1001</v>
      </c>
      <c r="B313" s="23"/>
      <c r="C313" s="24" t="s">
        <v>1174</v>
      </c>
      <c r="D313" s="24" t="s">
        <v>1176</v>
      </c>
      <c r="E313" s="24" t="s">
        <v>1076</v>
      </c>
      <c r="F313" s="25" t="s">
        <v>1002</v>
      </c>
      <c r="G313" s="26"/>
      <c r="H313" s="26">
        <v>30706.4</v>
      </c>
      <c r="I313" s="26" t="e">
        <f t="shared" si="12"/>
        <v>#DIV/0!</v>
      </c>
    </row>
    <row r="314" spans="1:9" ht="42.75" hidden="1">
      <c r="A314" s="285" t="s">
        <v>1077</v>
      </c>
      <c r="B314" s="23"/>
      <c r="C314" s="24" t="s">
        <v>1174</v>
      </c>
      <c r="D314" s="24" t="s">
        <v>1176</v>
      </c>
      <c r="E314" s="24" t="s">
        <v>1078</v>
      </c>
      <c r="F314" s="25"/>
      <c r="G314" s="26">
        <f>SUM(G315)</f>
        <v>0</v>
      </c>
      <c r="H314" s="26">
        <f>SUM(H315)</f>
        <v>0</v>
      </c>
      <c r="I314" s="26" t="e">
        <f t="shared" si="12"/>
        <v>#DIV/0!</v>
      </c>
    </row>
    <row r="315" spans="1:9" ht="14.25" customHeight="1" hidden="1">
      <c r="A315" s="285" t="s">
        <v>1001</v>
      </c>
      <c r="B315" s="23"/>
      <c r="C315" s="24" t="s">
        <v>1174</v>
      </c>
      <c r="D315" s="24" t="s">
        <v>1176</v>
      </c>
      <c r="E315" s="24" t="s">
        <v>1078</v>
      </c>
      <c r="F315" s="25" t="s">
        <v>1002</v>
      </c>
      <c r="G315" s="26"/>
      <c r="H315" s="26"/>
      <c r="I315" s="26" t="e">
        <f t="shared" si="12"/>
        <v>#DIV/0!</v>
      </c>
    </row>
    <row r="316" spans="1:9" ht="21" customHeight="1">
      <c r="A316" s="291" t="s">
        <v>35</v>
      </c>
      <c r="B316" s="36"/>
      <c r="C316" s="37" t="s">
        <v>1174</v>
      </c>
      <c r="D316" s="37" t="s">
        <v>661</v>
      </c>
      <c r="E316" s="37"/>
      <c r="F316" s="28"/>
      <c r="G316" s="26">
        <f>SUM(G317+G320+G327)</f>
        <v>14140.9</v>
      </c>
      <c r="H316" s="26" t="e">
        <f>SUM(H320+H322+H327+#REF!)</f>
        <v>#REF!</v>
      </c>
      <c r="I316" s="26" t="e">
        <f t="shared" si="12"/>
        <v>#REF!</v>
      </c>
    </row>
    <row r="317" spans="1:9" s="39" customFormat="1" ht="20.25" customHeight="1" hidden="1">
      <c r="A317" s="285" t="s">
        <v>1186</v>
      </c>
      <c r="B317" s="37"/>
      <c r="C317" s="37" t="s">
        <v>1174</v>
      </c>
      <c r="D317" s="37" t="s">
        <v>661</v>
      </c>
      <c r="E317" s="24" t="s">
        <v>1187</v>
      </c>
      <c r="F317" s="28"/>
      <c r="G317" s="26">
        <f>SUM(G319)</f>
        <v>0</v>
      </c>
      <c r="H317" s="26">
        <f>SUM(H319)</f>
        <v>0</v>
      </c>
      <c r="I317" s="26" t="e">
        <f t="shared" si="12"/>
        <v>#DIV/0!</v>
      </c>
    </row>
    <row r="318" spans="1:9" s="39" customFormat="1" ht="33.75" customHeight="1" hidden="1">
      <c r="A318" s="285" t="s">
        <v>836</v>
      </c>
      <c r="B318" s="37"/>
      <c r="C318" s="37" t="s">
        <v>1174</v>
      </c>
      <c r="D318" s="37" t="s">
        <v>661</v>
      </c>
      <c r="E318" s="24" t="s">
        <v>469</v>
      </c>
      <c r="F318" s="28"/>
      <c r="G318" s="26">
        <f>SUM(G319)</f>
        <v>0</v>
      </c>
      <c r="H318" s="26"/>
      <c r="I318" s="26"/>
    </row>
    <row r="319" spans="1:9" s="70" customFormat="1" ht="57" customHeight="1" hidden="1">
      <c r="A319" s="285" t="s">
        <v>1017</v>
      </c>
      <c r="B319" s="37"/>
      <c r="C319" s="37" t="s">
        <v>1174</v>
      </c>
      <c r="D319" s="37" t="s">
        <v>661</v>
      </c>
      <c r="E319" s="24" t="s">
        <v>469</v>
      </c>
      <c r="F319" s="28" t="s">
        <v>496</v>
      </c>
      <c r="G319" s="26"/>
      <c r="H319" s="26"/>
      <c r="I319" s="26" t="e">
        <f t="shared" si="12"/>
        <v>#DIV/0!</v>
      </c>
    </row>
    <row r="320" spans="1:9" s="58" customFormat="1" ht="27.75" customHeight="1">
      <c r="A320" s="292" t="s">
        <v>1079</v>
      </c>
      <c r="B320" s="37"/>
      <c r="C320" s="37" t="s">
        <v>1174</v>
      </c>
      <c r="D320" s="37" t="s">
        <v>661</v>
      </c>
      <c r="E320" s="37" t="s">
        <v>1080</v>
      </c>
      <c r="F320" s="28"/>
      <c r="G320" s="26">
        <f>SUM(G321,G324)</f>
        <v>4915.9</v>
      </c>
      <c r="H320" s="26">
        <f>SUM(H321)</f>
        <v>0</v>
      </c>
      <c r="I320" s="26">
        <f t="shared" si="12"/>
        <v>0</v>
      </c>
    </row>
    <row r="321" spans="1:9" s="58" customFormat="1" ht="15">
      <c r="A321" s="285" t="s">
        <v>1147</v>
      </c>
      <c r="B321" s="37"/>
      <c r="C321" s="37" t="s">
        <v>1174</v>
      </c>
      <c r="D321" s="37" t="s">
        <v>661</v>
      </c>
      <c r="E321" s="37" t="s">
        <v>1080</v>
      </c>
      <c r="F321" s="28" t="s">
        <v>1148</v>
      </c>
      <c r="G321" s="26">
        <f>2295.9+3620-4235.9-1000</f>
        <v>680</v>
      </c>
      <c r="H321" s="26">
        <f>5050-2000-3050</f>
        <v>0</v>
      </c>
      <c r="I321" s="26">
        <f t="shared" si="12"/>
        <v>0</v>
      </c>
    </row>
    <row r="322" spans="1:9" s="58" customFormat="1" ht="15">
      <c r="A322" s="285" t="s">
        <v>492</v>
      </c>
      <c r="B322" s="23"/>
      <c r="C322" s="37" t="s">
        <v>1174</v>
      </c>
      <c r="D322" s="37" t="s">
        <v>661</v>
      </c>
      <c r="E322" s="24" t="s">
        <v>1014</v>
      </c>
      <c r="F322" s="28"/>
      <c r="G322" s="26">
        <f>SUM(G323)</f>
        <v>4235.9</v>
      </c>
      <c r="H322" s="26">
        <f>SUM(H323)</f>
        <v>200</v>
      </c>
      <c r="I322" s="26">
        <f t="shared" si="12"/>
        <v>4.7215467787247105</v>
      </c>
    </row>
    <row r="323" spans="1:9" s="58" customFormat="1" ht="40.5" customHeight="1">
      <c r="A323" s="285" t="s">
        <v>754</v>
      </c>
      <c r="B323" s="23"/>
      <c r="C323" s="37" t="s">
        <v>1174</v>
      </c>
      <c r="D323" s="37" t="s">
        <v>661</v>
      </c>
      <c r="E323" s="24" t="s">
        <v>1015</v>
      </c>
      <c r="F323" s="28"/>
      <c r="G323" s="26">
        <f>SUM(G324)</f>
        <v>4235.9</v>
      </c>
      <c r="H323" s="26">
        <f>SUM(H324)</f>
        <v>200</v>
      </c>
      <c r="I323" s="26">
        <f t="shared" si="12"/>
        <v>4.7215467787247105</v>
      </c>
    </row>
    <row r="324" spans="1:9" s="58" customFormat="1" ht="51" customHeight="1">
      <c r="A324" s="285" t="s">
        <v>1017</v>
      </c>
      <c r="B324" s="23"/>
      <c r="C324" s="37" t="s">
        <v>1174</v>
      </c>
      <c r="D324" s="37" t="s">
        <v>661</v>
      </c>
      <c r="E324" s="24" t="s">
        <v>1015</v>
      </c>
      <c r="F324" s="28" t="s">
        <v>496</v>
      </c>
      <c r="G324" s="26">
        <v>4235.9</v>
      </c>
      <c r="H324" s="26">
        <v>200</v>
      </c>
      <c r="I324" s="26">
        <f t="shared" si="12"/>
        <v>4.7215467787247105</v>
      </c>
    </row>
    <row r="325" spans="1:9" s="163" customFormat="1" ht="28.5" hidden="1">
      <c r="A325" s="285" t="s">
        <v>37</v>
      </c>
      <c r="B325" s="23"/>
      <c r="C325" s="37" t="s">
        <v>1174</v>
      </c>
      <c r="D325" s="37" t="s">
        <v>661</v>
      </c>
      <c r="E325" s="24" t="s">
        <v>38</v>
      </c>
      <c r="F325" s="28"/>
      <c r="G325" s="26">
        <f>SUM(G326)</f>
        <v>0</v>
      </c>
      <c r="H325" s="26">
        <f>SUM(H326)</f>
        <v>0</v>
      </c>
      <c r="I325" s="26" t="e">
        <f t="shared" si="12"/>
        <v>#DIV/0!</v>
      </c>
    </row>
    <row r="326" spans="1:9" s="58" customFormat="1" ht="15" hidden="1">
      <c r="A326" s="285" t="s">
        <v>1068</v>
      </c>
      <c r="B326" s="23"/>
      <c r="C326" s="37" t="s">
        <v>1174</v>
      </c>
      <c r="D326" s="37" t="s">
        <v>661</v>
      </c>
      <c r="E326" s="24" t="s">
        <v>38</v>
      </c>
      <c r="F326" s="28" t="s">
        <v>1069</v>
      </c>
      <c r="G326" s="26"/>
      <c r="H326" s="26"/>
      <c r="I326" s="26" t="e">
        <f t="shared" si="12"/>
        <v>#DIV/0!</v>
      </c>
    </row>
    <row r="327" spans="1:9" s="58" customFormat="1" ht="21" customHeight="1">
      <c r="A327" s="285" t="s">
        <v>1186</v>
      </c>
      <c r="B327" s="23"/>
      <c r="C327" s="37" t="s">
        <v>1174</v>
      </c>
      <c r="D327" s="37" t="s">
        <v>661</v>
      </c>
      <c r="E327" s="24" t="s">
        <v>1187</v>
      </c>
      <c r="F327" s="28"/>
      <c r="G327" s="26">
        <f>SUM(G328)+G335+G330+G332</f>
        <v>9225</v>
      </c>
      <c r="H327" s="26">
        <f>SUM(H328)</f>
        <v>0</v>
      </c>
      <c r="I327" s="26">
        <f t="shared" si="12"/>
        <v>0</v>
      </c>
    </row>
    <row r="328" spans="1:9" s="58" customFormat="1" ht="28.5">
      <c r="A328" s="293" t="s">
        <v>209</v>
      </c>
      <c r="B328" s="23"/>
      <c r="C328" s="37" t="s">
        <v>1174</v>
      </c>
      <c r="D328" s="37" t="s">
        <v>661</v>
      </c>
      <c r="E328" s="24" t="s">
        <v>1084</v>
      </c>
      <c r="F328" s="28"/>
      <c r="G328" s="26">
        <f>SUM(G329)</f>
        <v>725</v>
      </c>
      <c r="H328" s="26">
        <f>SUM(H329:H338)</f>
        <v>0</v>
      </c>
      <c r="I328" s="26">
        <f t="shared" si="12"/>
        <v>0</v>
      </c>
    </row>
    <row r="329" spans="1:9" s="58" customFormat="1" ht="30.75" customHeight="1">
      <c r="A329" s="285" t="s">
        <v>1147</v>
      </c>
      <c r="B329" s="36"/>
      <c r="C329" s="37" t="s">
        <v>1174</v>
      </c>
      <c r="D329" s="37" t="s">
        <v>661</v>
      </c>
      <c r="E329" s="24" t="s">
        <v>1084</v>
      </c>
      <c r="F329" s="28" t="s">
        <v>1148</v>
      </c>
      <c r="G329" s="54">
        <v>725</v>
      </c>
      <c r="H329" s="54"/>
      <c r="I329" s="26">
        <f t="shared" si="12"/>
        <v>0</v>
      </c>
    </row>
    <row r="330" spans="1:9" s="58" customFormat="1" ht="30.75" customHeight="1">
      <c r="A330" s="285" t="s">
        <v>222</v>
      </c>
      <c r="B330" s="36"/>
      <c r="C330" s="37" t="s">
        <v>1174</v>
      </c>
      <c r="D330" s="37" t="s">
        <v>661</v>
      </c>
      <c r="E330" s="24" t="s">
        <v>223</v>
      </c>
      <c r="F330" s="28"/>
      <c r="G330" s="54">
        <f>SUM(G331)</f>
        <v>2500</v>
      </c>
      <c r="H330" s="54"/>
      <c r="I330" s="26"/>
    </row>
    <row r="331" spans="1:9" s="58" customFormat="1" ht="24.75" customHeight="1">
      <c r="A331" s="285" t="s">
        <v>198</v>
      </c>
      <c r="B331" s="36"/>
      <c r="C331" s="37" t="s">
        <v>1174</v>
      </c>
      <c r="D331" s="37" t="s">
        <v>661</v>
      </c>
      <c r="E331" s="24" t="s">
        <v>223</v>
      </c>
      <c r="F331" s="28" t="s">
        <v>199</v>
      </c>
      <c r="G331" s="54">
        <v>2500</v>
      </c>
      <c r="H331" s="54"/>
      <c r="I331" s="26"/>
    </row>
    <row r="332" spans="1:9" s="58" customFormat="1" ht="37.5" customHeight="1">
      <c r="A332" s="291" t="s">
        <v>1110</v>
      </c>
      <c r="B332" s="36"/>
      <c r="C332" s="37" t="s">
        <v>1174</v>
      </c>
      <c r="D332" s="37" t="s">
        <v>661</v>
      </c>
      <c r="E332" s="24" t="s">
        <v>454</v>
      </c>
      <c r="F332" s="28"/>
      <c r="G332" s="54">
        <f>SUM(G333)</f>
        <v>1000</v>
      </c>
      <c r="H332" s="54"/>
      <c r="I332" s="26">
        <f>SUM(H332/G332*100)</f>
        <v>0</v>
      </c>
    </row>
    <row r="333" spans="1:9" s="58" customFormat="1" ht="38.25" customHeight="1">
      <c r="A333" s="293" t="s">
        <v>265</v>
      </c>
      <c r="B333" s="36"/>
      <c r="C333" s="37" t="s">
        <v>1174</v>
      </c>
      <c r="D333" s="37" t="s">
        <v>661</v>
      </c>
      <c r="E333" s="24" t="s">
        <v>1085</v>
      </c>
      <c r="F333" s="28"/>
      <c r="G333" s="54">
        <f>SUM(G334)</f>
        <v>1000</v>
      </c>
      <c r="H333" s="54"/>
      <c r="I333" s="26">
        <f>SUM(H333/G333*100)</f>
        <v>0</v>
      </c>
    </row>
    <row r="334" spans="1:9" s="58" customFormat="1" ht="23.25" customHeight="1">
      <c r="A334" s="285" t="s">
        <v>1147</v>
      </c>
      <c r="B334" s="36"/>
      <c r="C334" s="37" t="s">
        <v>1174</v>
      </c>
      <c r="D334" s="37" t="s">
        <v>661</v>
      </c>
      <c r="E334" s="24" t="s">
        <v>1085</v>
      </c>
      <c r="F334" s="28" t="s">
        <v>1148</v>
      </c>
      <c r="G334" s="54">
        <v>1000</v>
      </c>
      <c r="H334" s="54"/>
      <c r="I334" s="26">
        <f>SUM(H334/G334*100)</f>
        <v>0</v>
      </c>
    </row>
    <row r="335" spans="1:9" s="39" customFormat="1" ht="33.75" customHeight="1">
      <c r="A335" s="285" t="s">
        <v>836</v>
      </c>
      <c r="B335" s="37"/>
      <c r="C335" s="37" t="s">
        <v>1174</v>
      </c>
      <c r="D335" s="37" t="s">
        <v>661</v>
      </c>
      <c r="E335" s="24" t="s">
        <v>469</v>
      </c>
      <c r="F335" s="28"/>
      <c r="G335" s="26">
        <f>SUM(G336)</f>
        <v>5000</v>
      </c>
      <c r="H335" s="26"/>
      <c r="I335" s="26"/>
    </row>
    <row r="336" spans="1:9" s="70" customFormat="1" ht="47.25" customHeight="1">
      <c r="A336" s="285" t="s">
        <v>1017</v>
      </c>
      <c r="B336" s="37"/>
      <c r="C336" s="37" t="s">
        <v>1174</v>
      </c>
      <c r="D336" s="37" t="s">
        <v>661</v>
      </c>
      <c r="E336" s="24" t="s">
        <v>469</v>
      </c>
      <c r="F336" s="28" t="s">
        <v>496</v>
      </c>
      <c r="G336" s="26">
        <v>5000</v>
      </c>
      <c r="H336" s="26"/>
      <c r="I336" s="26">
        <f>SUM(H336/G336*100)</f>
        <v>0</v>
      </c>
    </row>
    <row r="337" spans="1:9" s="58" customFormat="1" ht="52.5" customHeight="1" hidden="1">
      <c r="A337" s="291" t="s">
        <v>1110</v>
      </c>
      <c r="B337" s="36"/>
      <c r="C337" s="37" t="s">
        <v>1174</v>
      </c>
      <c r="D337" s="37" t="s">
        <v>661</v>
      </c>
      <c r="E337" s="24" t="s">
        <v>1085</v>
      </c>
      <c r="F337" s="28" t="s">
        <v>1148</v>
      </c>
      <c r="G337" s="54"/>
      <c r="H337" s="54"/>
      <c r="I337" s="26" t="e">
        <f>SUM(H337/G337*100)</f>
        <v>#DIV/0!</v>
      </c>
    </row>
    <row r="338" spans="1:9" s="58" customFormat="1" ht="53.25" customHeight="1" hidden="1">
      <c r="A338" s="293" t="s">
        <v>265</v>
      </c>
      <c r="B338" s="36"/>
      <c r="C338" s="37" t="s">
        <v>1174</v>
      </c>
      <c r="D338" s="37" t="s">
        <v>661</v>
      </c>
      <c r="E338" s="24" t="s">
        <v>1085</v>
      </c>
      <c r="F338" s="28" t="s">
        <v>1148</v>
      </c>
      <c r="G338" s="54"/>
      <c r="H338" s="54"/>
      <c r="I338" s="26" t="e">
        <f t="shared" si="12"/>
        <v>#DIV/0!</v>
      </c>
    </row>
    <row r="339" spans="1:9" s="58" customFormat="1" ht="18" customHeight="1">
      <c r="A339" s="291" t="s">
        <v>1086</v>
      </c>
      <c r="B339" s="36"/>
      <c r="C339" s="37" t="s">
        <v>1190</v>
      </c>
      <c r="D339" s="37"/>
      <c r="E339" s="37"/>
      <c r="F339" s="29"/>
      <c r="G339" s="164">
        <f>SUM(G340+G393+G420+G447)</f>
        <v>20900</v>
      </c>
      <c r="H339" s="164">
        <f>SUM(H340+H393+H420+H447)</f>
        <v>129173.09999999999</v>
      </c>
      <c r="I339" s="26">
        <f t="shared" si="12"/>
        <v>618.0531100478469</v>
      </c>
    </row>
    <row r="340" spans="1:9" s="58" customFormat="1" ht="15">
      <c r="A340" s="285" t="s">
        <v>1087</v>
      </c>
      <c r="B340" s="23"/>
      <c r="C340" s="24" t="s">
        <v>1190</v>
      </c>
      <c r="D340" s="24" t="s">
        <v>1140</v>
      </c>
      <c r="E340" s="24"/>
      <c r="F340" s="25"/>
      <c r="G340" s="26">
        <f>SUM(G361+G383+G353+G366+G341+G380)</f>
        <v>355.5</v>
      </c>
      <c r="H340" s="26">
        <f>SUM(H361+H383+H353+H366+H341)</f>
        <v>25898.3</v>
      </c>
      <c r="I340" s="26">
        <f t="shared" si="12"/>
        <v>7285.035161744023</v>
      </c>
    </row>
    <row r="341" spans="1:9" s="39" customFormat="1" ht="39.75" customHeight="1">
      <c r="A341" s="293" t="s">
        <v>1088</v>
      </c>
      <c r="B341" s="66"/>
      <c r="C341" s="24" t="s">
        <v>1190</v>
      </c>
      <c r="D341" s="24" t="s">
        <v>1140</v>
      </c>
      <c r="E341" s="24" t="s">
        <v>1089</v>
      </c>
      <c r="F341" s="25"/>
      <c r="G341" s="26">
        <f>SUM(G342+G349)</f>
        <v>355.5</v>
      </c>
      <c r="H341" s="26">
        <f>SUM(H342+H349)</f>
        <v>25620.2</v>
      </c>
      <c r="I341" s="26">
        <f t="shared" si="12"/>
        <v>7206.807313642757</v>
      </c>
    </row>
    <row r="342" spans="1:9" s="39" customFormat="1" ht="92.25" customHeight="1" hidden="1">
      <c r="A342" s="293" t="s">
        <v>1090</v>
      </c>
      <c r="B342" s="66"/>
      <c r="C342" s="24" t="s">
        <v>1190</v>
      </c>
      <c r="D342" s="24" t="s">
        <v>1140</v>
      </c>
      <c r="E342" s="24" t="s">
        <v>1091</v>
      </c>
      <c r="F342" s="25"/>
      <c r="G342" s="26">
        <f>SUM(G343+G345+G347)</f>
        <v>0</v>
      </c>
      <c r="H342" s="26">
        <f>SUM(H343+H345+H347)</f>
        <v>20414.4</v>
      </c>
      <c r="I342" s="26" t="e">
        <f t="shared" si="12"/>
        <v>#DIV/0!</v>
      </c>
    </row>
    <row r="343" spans="1:9" s="39" customFormat="1" ht="78" customHeight="1" hidden="1">
      <c r="A343" s="293" t="s">
        <v>1040</v>
      </c>
      <c r="B343" s="66"/>
      <c r="C343" s="24" t="s">
        <v>1190</v>
      </c>
      <c r="D343" s="24" t="s">
        <v>1140</v>
      </c>
      <c r="E343" s="24" t="s">
        <v>1041</v>
      </c>
      <c r="F343" s="25"/>
      <c r="G343" s="26">
        <f>SUM(G344)</f>
        <v>0</v>
      </c>
      <c r="H343" s="26">
        <f>SUM(H344)</f>
        <v>15652.8</v>
      </c>
      <c r="I343" s="26" t="e">
        <f t="shared" si="12"/>
        <v>#DIV/0!</v>
      </c>
    </row>
    <row r="344" spans="1:9" s="39" customFormat="1" ht="15" hidden="1">
      <c r="A344" s="285" t="s">
        <v>1001</v>
      </c>
      <c r="B344" s="23"/>
      <c r="C344" s="24" t="s">
        <v>1190</v>
      </c>
      <c r="D344" s="24" t="s">
        <v>1140</v>
      </c>
      <c r="E344" s="24" t="s">
        <v>1041</v>
      </c>
      <c r="F344" s="25" t="s">
        <v>1002</v>
      </c>
      <c r="G344" s="26"/>
      <c r="H344" s="26">
        <v>15652.8</v>
      </c>
      <c r="I344" s="26" t="e">
        <f t="shared" si="12"/>
        <v>#DIV/0!</v>
      </c>
    </row>
    <row r="345" spans="1:9" s="39" customFormat="1" ht="57" hidden="1">
      <c r="A345" s="293" t="s">
        <v>1042</v>
      </c>
      <c r="B345" s="66"/>
      <c r="C345" s="24" t="s">
        <v>1190</v>
      </c>
      <c r="D345" s="24" t="s">
        <v>1140</v>
      </c>
      <c r="E345" s="24" t="s">
        <v>1043</v>
      </c>
      <c r="F345" s="25"/>
      <c r="G345" s="26">
        <f>SUM(G346)</f>
        <v>0</v>
      </c>
      <c r="H345" s="26">
        <f>SUM(H346)</f>
        <v>0</v>
      </c>
      <c r="I345" s="26" t="e">
        <f t="shared" si="12"/>
        <v>#DIV/0!</v>
      </c>
    </row>
    <row r="346" spans="1:9" s="39" customFormat="1" ht="15" hidden="1">
      <c r="A346" s="342" t="s">
        <v>198</v>
      </c>
      <c r="B346" s="66"/>
      <c r="C346" s="24" t="s">
        <v>1190</v>
      </c>
      <c r="D346" s="24" t="s">
        <v>1140</v>
      </c>
      <c r="E346" s="24" t="s">
        <v>1043</v>
      </c>
      <c r="F346" s="25" t="s">
        <v>199</v>
      </c>
      <c r="G346" s="26"/>
      <c r="H346" s="26"/>
      <c r="I346" s="26" t="e">
        <f t="shared" si="12"/>
        <v>#DIV/0!</v>
      </c>
    </row>
    <row r="347" spans="1:9" s="39" customFormat="1" ht="92.25" customHeight="1" hidden="1">
      <c r="A347" s="293" t="s">
        <v>210</v>
      </c>
      <c r="B347" s="66"/>
      <c r="C347" s="24" t="s">
        <v>1190</v>
      </c>
      <c r="D347" s="24" t="s">
        <v>1140</v>
      </c>
      <c r="E347" s="24" t="s">
        <v>211</v>
      </c>
      <c r="F347" s="25"/>
      <c r="G347" s="26">
        <f>SUM(G348)</f>
        <v>0</v>
      </c>
      <c r="H347" s="26">
        <f>SUM(H348)</f>
        <v>4761.6</v>
      </c>
      <c r="I347" s="26" t="e">
        <f t="shared" si="12"/>
        <v>#DIV/0!</v>
      </c>
    </row>
    <row r="348" spans="1:9" s="39" customFormat="1" ht="15" hidden="1">
      <c r="A348" s="342" t="s">
        <v>198</v>
      </c>
      <c r="B348" s="66"/>
      <c r="C348" s="24" t="s">
        <v>1190</v>
      </c>
      <c r="D348" s="24" t="s">
        <v>1140</v>
      </c>
      <c r="E348" s="24" t="s">
        <v>211</v>
      </c>
      <c r="F348" s="25" t="s">
        <v>199</v>
      </c>
      <c r="G348" s="26"/>
      <c r="H348" s="26">
        <v>4761.6</v>
      </c>
      <c r="I348" s="26" t="e">
        <f t="shared" si="12"/>
        <v>#DIV/0!</v>
      </c>
    </row>
    <row r="349" spans="1:9" s="39" customFormat="1" ht="56.25" customHeight="1">
      <c r="A349" s="291" t="s">
        <v>1092</v>
      </c>
      <c r="B349" s="66"/>
      <c r="C349" s="24" t="s">
        <v>1190</v>
      </c>
      <c r="D349" s="24" t="s">
        <v>1140</v>
      </c>
      <c r="E349" s="24" t="s">
        <v>1093</v>
      </c>
      <c r="F349" s="25"/>
      <c r="G349" s="26">
        <f>SUM(G350)+G356+G359</f>
        <v>355.5</v>
      </c>
      <c r="H349" s="26">
        <f>SUM(H350)+H356+H359</f>
        <v>5205.8</v>
      </c>
      <c r="I349" s="26">
        <f t="shared" si="12"/>
        <v>1464.3600562587903</v>
      </c>
    </row>
    <row r="350" spans="1:9" s="39" customFormat="1" ht="37.5" customHeight="1" hidden="1">
      <c r="A350" s="291" t="s">
        <v>1094</v>
      </c>
      <c r="B350" s="66"/>
      <c r="C350" s="24" t="s">
        <v>1190</v>
      </c>
      <c r="D350" s="24" t="s">
        <v>1140</v>
      </c>
      <c r="E350" s="24" t="s">
        <v>1095</v>
      </c>
      <c r="F350" s="25"/>
      <c r="G350" s="26">
        <f>SUM(G351+G352)</f>
        <v>0</v>
      </c>
      <c r="H350" s="26">
        <f>SUM(H351+H352)</f>
        <v>1562</v>
      </c>
      <c r="I350" s="26" t="e">
        <f t="shared" si="12"/>
        <v>#DIV/0!</v>
      </c>
    </row>
    <row r="351" spans="1:9" s="39" customFormat="1" ht="21" customHeight="1" hidden="1">
      <c r="A351" s="295" t="s">
        <v>1001</v>
      </c>
      <c r="B351" s="66"/>
      <c r="C351" s="24" t="s">
        <v>1190</v>
      </c>
      <c r="D351" s="24" t="s">
        <v>1140</v>
      </c>
      <c r="E351" s="24" t="s">
        <v>1095</v>
      </c>
      <c r="F351" s="25" t="s">
        <v>1002</v>
      </c>
      <c r="G351" s="26"/>
      <c r="H351" s="26">
        <v>233.9</v>
      </c>
      <c r="I351" s="26" t="e">
        <f t="shared" si="12"/>
        <v>#DIV/0!</v>
      </c>
    </row>
    <row r="352" spans="1:9" s="39" customFormat="1" ht="30.75" customHeight="1" hidden="1">
      <c r="A352" s="295" t="s">
        <v>1096</v>
      </c>
      <c r="B352" s="66"/>
      <c r="C352" s="24" t="s">
        <v>1190</v>
      </c>
      <c r="D352" s="24" t="s">
        <v>1140</v>
      </c>
      <c r="E352" s="24" t="s">
        <v>1095</v>
      </c>
      <c r="F352" s="25" t="s">
        <v>1097</v>
      </c>
      <c r="G352" s="26"/>
      <c r="H352" s="26">
        <v>1328.1</v>
      </c>
      <c r="I352" s="26" t="e">
        <f t="shared" si="12"/>
        <v>#DIV/0!</v>
      </c>
    </row>
    <row r="353" spans="1:9" s="39" customFormat="1" ht="0.75" customHeight="1" hidden="1">
      <c r="A353" s="291" t="s">
        <v>146</v>
      </c>
      <c r="B353" s="23"/>
      <c r="C353" s="24" t="s">
        <v>1190</v>
      </c>
      <c r="D353" s="24" t="s">
        <v>1140</v>
      </c>
      <c r="E353" s="24" t="s">
        <v>1071</v>
      </c>
      <c r="F353" s="25"/>
      <c r="G353" s="26">
        <f>SUM(G354)</f>
        <v>0</v>
      </c>
      <c r="H353" s="26">
        <f>SUM(H354)</f>
        <v>0</v>
      </c>
      <c r="I353" s="26" t="e">
        <f t="shared" si="12"/>
        <v>#DIV/0!</v>
      </c>
    </row>
    <row r="354" spans="1:9" s="39" customFormat="1" ht="42" customHeight="1" hidden="1">
      <c r="A354" s="291" t="s">
        <v>196</v>
      </c>
      <c r="B354" s="23"/>
      <c r="C354" s="24" t="s">
        <v>1190</v>
      </c>
      <c r="D354" s="24" t="s">
        <v>1140</v>
      </c>
      <c r="E354" s="24" t="s">
        <v>197</v>
      </c>
      <c r="F354" s="25"/>
      <c r="G354" s="26">
        <f>SUM(G355)</f>
        <v>0</v>
      </c>
      <c r="H354" s="26">
        <f>SUM(H355)</f>
        <v>0</v>
      </c>
      <c r="I354" s="26" t="e">
        <f t="shared" si="12"/>
        <v>#DIV/0!</v>
      </c>
    </row>
    <row r="355" spans="1:9" s="39" customFormat="1" ht="25.5" customHeight="1" hidden="1">
      <c r="A355" s="291" t="s">
        <v>198</v>
      </c>
      <c r="B355" s="23"/>
      <c r="C355" s="24" t="s">
        <v>1190</v>
      </c>
      <c r="D355" s="24" t="s">
        <v>1140</v>
      </c>
      <c r="E355" s="24" t="s">
        <v>197</v>
      </c>
      <c r="F355" s="25" t="s">
        <v>199</v>
      </c>
      <c r="G355" s="26"/>
      <c r="H355" s="26"/>
      <c r="I355" s="26" t="e">
        <f t="shared" si="12"/>
        <v>#DIV/0!</v>
      </c>
    </row>
    <row r="356" spans="1:9" s="39" customFormat="1" ht="43.5" customHeight="1">
      <c r="A356" s="291" t="s">
        <v>1098</v>
      </c>
      <c r="B356" s="23"/>
      <c r="C356" s="24" t="s">
        <v>1190</v>
      </c>
      <c r="D356" s="24" t="s">
        <v>1140</v>
      </c>
      <c r="E356" s="24" t="s">
        <v>1099</v>
      </c>
      <c r="F356" s="25"/>
      <c r="G356" s="26">
        <f>SUM(G357+G358)</f>
        <v>355.5</v>
      </c>
      <c r="H356" s="26">
        <f>SUM(H357+H358)</f>
        <v>1821.9</v>
      </c>
      <c r="I356" s="26">
        <f t="shared" si="12"/>
        <v>512.4894514767933</v>
      </c>
    </row>
    <row r="357" spans="1:9" s="39" customFormat="1" ht="60" customHeight="1" hidden="1">
      <c r="A357" s="285" t="s">
        <v>1017</v>
      </c>
      <c r="B357" s="23"/>
      <c r="C357" s="24" t="s">
        <v>1190</v>
      </c>
      <c r="D357" s="24" t="s">
        <v>1140</v>
      </c>
      <c r="E357" s="24" t="s">
        <v>1099</v>
      </c>
      <c r="F357" s="25" t="s">
        <v>496</v>
      </c>
      <c r="G357" s="26"/>
      <c r="H357" s="26"/>
      <c r="I357" s="26" t="e">
        <f t="shared" si="12"/>
        <v>#DIV/0!</v>
      </c>
    </row>
    <row r="358" spans="1:9" s="39" customFormat="1" ht="19.5" customHeight="1">
      <c r="A358" s="342" t="s">
        <v>198</v>
      </c>
      <c r="B358" s="23"/>
      <c r="C358" s="24" t="s">
        <v>1190</v>
      </c>
      <c r="D358" s="24" t="s">
        <v>1140</v>
      </c>
      <c r="E358" s="24" t="s">
        <v>1099</v>
      </c>
      <c r="F358" s="25" t="s">
        <v>199</v>
      </c>
      <c r="G358" s="26">
        <v>355.5</v>
      </c>
      <c r="H358" s="26">
        <v>1821.9</v>
      </c>
      <c r="I358" s="26">
        <f>SUM(H358/G358*100)</f>
        <v>512.4894514767933</v>
      </c>
    </row>
    <row r="359" spans="1:9" s="39" customFormat="1" ht="63" customHeight="1" hidden="1">
      <c r="A359" s="291" t="s">
        <v>1113</v>
      </c>
      <c r="B359" s="23"/>
      <c r="C359" s="24" t="s">
        <v>1190</v>
      </c>
      <c r="D359" s="24" t="s">
        <v>1140</v>
      </c>
      <c r="E359" s="24" t="s">
        <v>1114</v>
      </c>
      <c r="F359" s="25"/>
      <c r="G359" s="26">
        <f>SUM(G360)</f>
        <v>0</v>
      </c>
      <c r="H359" s="26">
        <f>SUM(H360)</f>
        <v>1821.9</v>
      </c>
      <c r="I359" s="26" t="e">
        <f t="shared" si="12"/>
        <v>#DIV/0!</v>
      </c>
    </row>
    <row r="360" spans="1:9" s="39" customFormat="1" ht="19.5" customHeight="1" hidden="1">
      <c r="A360" s="342" t="s">
        <v>198</v>
      </c>
      <c r="B360" s="23"/>
      <c r="C360" s="24" t="s">
        <v>1190</v>
      </c>
      <c r="D360" s="24" t="s">
        <v>1140</v>
      </c>
      <c r="E360" s="24" t="s">
        <v>1114</v>
      </c>
      <c r="F360" s="25" t="s">
        <v>199</v>
      </c>
      <c r="G360" s="26"/>
      <c r="H360" s="26">
        <v>1821.9</v>
      </c>
      <c r="I360" s="26" t="e">
        <f t="shared" si="12"/>
        <v>#DIV/0!</v>
      </c>
    </row>
    <row r="361" spans="1:9" s="39" customFormat="1" ht="15.75" customHeight="1" hidden="1">
      <c r="A361" s="285" t="s">
        <v>1115</v>
      </c>
      <c r="B361" s="23"/>
      <c r="C361" s="24" t="s">
        <v>1190</v>
      </c>
      <c r="D361" s="24" t="s">
        <v>1140</v>
      </c>
      <c r="E361" s="24" t="s">
        <v>1116</v>
      </c>
      <c r="F361" s="25"/>
      <c r="G361" s="26">
        <f>SUM(G362+G364)</f>
        <v>0</v>
      </c>
      <c r="H361" s="26">
        <f>SUM(H362+H364)</f>
        <v>0</v>
      </c>
      <c r="I361" s="26" t="e">
        <f t="shared" si="12"/>
        <v>#DIV/0!</v>
      </c>
    </row>
    <row r="362" spans="1:9" s="39" customFormat="1" ht="42.75" customHeight="1" hidden="1">
      <c r="A362" s="287" t="s">
        <v>1117</v>
      </c>
      <c r="B362" s="23"/>
      <c r="C362" s="24" t="s">
        <v>1190</v>
      </c>
      <c r="D362" s="24" t="s">
        <v>1140</v>
      </c>
      <c r="E362" s="24" t="s">
        <v>1118</v>
      </c>
      <c r="F362" s="25"/>
      <c r="G362" s="26">
        <f>SUM(G363)</f>
        <v>0</v>
      </c>
      <c r="H362" s="26">
        <f>SUM(H363)</f>
        <v>0</v>
      </c>
      <c r="I362" s="26" t="e">
        <f t="shared" si="12"/>
        <v>#DIV/0!</v>
      </c>
    </row>
    <row r="363" spans="1:9" s="39" customFormat="1" ht="20.25" customHeight="1" hidden="1">
      <c r="A363" s="285" t="s">
        <v>1001</v>
      </c>
      <c r="B363" s="23"/>
      <c r="C363" s="24" t="s">
        <v>1190</v>
      </c>
      <c r="D363" s="24" t="s">
        <v>1140</v>
      </c>
      <c r="E363" s="24" t="s">
        <v>1118</v>
      </c>
      <c r="F363" s="25" t="s">
        <v>1002</v>
      </c>
      <c r="G363" s="26"/>
      <c r="H363" s="26"/>
      <c r="I363" s="26" t="e">
        <f t="shared" si="12"/>
        <v>#DIV/0!</v>
      </c>
    </row>
    <row r="364" spans="1:9" s="39" customFormat="1" ht="44.25" customHeight="1" hidden="1">
      <c r="A364" s="287" t="s">
        <v>1119</v>
      </c>
      <c r="B364" s="36"/>
      <c r="C364" s="24" t="s">
        <v>1190</v>
      </c>
      <c r="D364" s="24" t="s">
        <v>1140</v>
      </c>
      <c r="E364" s="24" t="s">
        <v>1120</v>
      </c>
      <c r="F364" s="28"/>
      <c r="G364" s="26">
        <f>SUM(G365)</f>
        <v>0</v>
      </c>
      <c r="H364" s="26">
        <f>SUM(H365)</f>
        <v>0</v>
      </c>
      <c r="I364" s="26" t="e">
        <f t="shared" si="12"/>
        <v>#DIV/0!</v>
      </c>
    </row>
    <row r="365" spans="1:9" s="39" customFormat="1" ht="30" customHeight="1" hidden="1">
      <c r="A365" s="285" t="s">
        <v>1147</v>
      </c>
      <c r="B365" s="69"/>
      <c r="C365" s="24" t="s">
        <v>1190</v>
      </c>
      <c r="D365" s="24" t="s">
        <v>1140</v>
      </c>
      <c r="E365" s="24" t="s">
        <v>1120</v>
      </c>
      <c r="F365" s="52" t="s">
        <v>1148</v>
      </c>
      <c r="G365" s="54"/>
      <c r="H365" s="54"/>
      <c r="I365" s="26" t="e">
        <f t="shared" si="12"/>
        <v>#DIV/0!</v>
      </c>
    </row>
    <row r="366" spans="1:9" s="39" customFormat="1" ht="17.25" customHeight="1" hidden="1">
      <c r="A366" s="287" t="s">
        <v>990</v>
      </c>
      <c r="B366" s="50"/>
      <c r="C366" s="73" t="s">
        <v>1190</v>
      </c>
      <c r="D366" s="73" t="s">
        <v>1140</v>
      </c>
      <c r="E366" s="73" t="s">
        <v>991</v>
      </c>
      <c r="F366" s="71"/>
      <c r="G366" s="72">
        <f>SUM(G370)+G375+G367</f>
        <v>0</v>
      </c>
      <c r="H366" s="72">
        <f>SUM(H370)+H375+H367</f>
        <v>0</v>
      </c>
      <c r="I366" s="26" t="e">
        <f t="shared" si="12"/>
        <v>#DIV/0!</v>
      </c>
    </row>
    <row r="367" spans="1:9" s="39" customFormat="1" ht="46.5" customHeight="1" hidden="1">
      <c r="A367" s="287" t="s">
        <v>1121</v>
      </c>
      <c r="B367" s="50"/>
      <c r="C367" s="73" t="s">
        <v>1190</v>
      </c>
      <c r="D367" s="73" t="s">
        <v>1140</v>
      </c>
      <c r="E367" s="73" t="s">
        <v>1122</v>
      </c>
      <c r="F367" s="71"/>
      <c r="G367" s="72">
        <f>SUM(G368)</f>
        <v>0</v>
      </c>
      <c r="H367" s="72">
        <f>SUM(H368)</f>
        <v>0</v>
      </c>
      <c r="I367" s="26" t="e">
        <f t="shared" si="12"/>
        <v>#DIV/0!</v>
      </c>
    </row>
    <row r="368" spans="1:9" s="39" customFormat="1" ht="19.5" customHeight="1" hidden="1">
      <c r="A368" s="287" t="s">
        <v>198</v>
      </c>
      <c r="B368" s="50"/>
      <c r="C368" s="73" t="s">
        <v>1190</v>
      </c>
      <c r="D368" s="73" t="s">
        <v>1140</v>
      </c>
      <c r="E368" s="73" t="s">
        <v>1122</v>
      </c>
      <c r="F368" s="71" t="s">
        <v>199</v>
      </c>
      <c r="G368" s="72"/>
      <c r="H368" s="72"/>
      <c r="I368" s="26" t="e">
        <f t="shared" si="12"/>
        <v>#DIV/0!</v>
      </c>
    </row>
    <row r="369" spans="1:9" s="39" customFormat="1" ht="26.25" customHeight="1" hidden="1">
      <c r="A369" s="287"/>
      <c r="B369" s="50"/>
      <c r="C369" s="50"/>
      <c r="D369" s="50"/>
      <c r="E369" s="50"/>
      <c r="F369" s="71"/>
      <c r="G369" s="72"/>
      <c r="H369" s="72"/>
      <c r="I369" s="26" t="e">
        <f t="shared" si="12"/>
        <v>#DIV/0!</v>
      </c>
    </row>
    <row r="370" spans="1:9" s="39" customFormat="1" ht="18" customHeight="1" hidden="1">
      <c r="A370" s="285" t="s">
        <v>1123</v>
      </c>
      <c r="B370" s="50"/>
      <c r="C370" s="73" t="s">
        <v>1190</v>
      </c>
      <c r="D370" s="73" t="s">
        <v>1140</v>
      </c>
      <c r="E370" s="73" t="s">
        <v>1124</v>
      </c>
      <c r="F370" s="71"/>
      <c r="G370" s="72">
        <f>SUM(G371+G373)</f>
        <v>0</v>
      </c>
      <c r="H370" s="72">
        <f>SUM(H371+H373)</f>
        <v>0</v>
      </c>
      <c r="I370" s="26" t="e">
        <f t="shared" si="12"/>
        <v>#DIV/0!</v>
      </c>
    </row>
    <row r="371" spans="1:9" s="39" customFormat="1" ht="28.5" hidden="1">
      <c r="A371" s="287" t="s">
        <v>1125</v>
      </c>
      <c r="B371" s="74"/>
      <c r="C371" s="73" t="s">
        <v>1190</v>
      </c>
      <c r="D371" s="73" t="s">
        <v>1140</v>
      </c>
      <c r="E371" s="73" t="s">
        <v>1126</v>
      </c>
      <c r="F371" s="71"/>
      <c r="G371" s="72">
        <f>SUM(G372)</f>
        <v>0</v>
      </c>
      <c r="H371" s="72">
        <f>SUM(H372)</f>
        <v>0</v>
      </c>
      <c r="I371" s="26" t="e">
        <f t="shared" si="12"/>
        <v>#DIV/0!</v>
      </c>
    </row>
    <row r="372" spans="1:9" s="39" customFormat="1" ht="15" hidden="1">
      <c r="A372" s="291" t="s">
        <v>198</v>
      </c>
      <c r="B372" s="50"/>
      <c r="C372" s="73" t="s">
        <v>1190</v>
      </c>
      <c r="D372" s="73" t="s">
        <v>1140</v>
      </c>
      <c r="E372" s="73" t="s">
        <v>1126</v>
      </c>
      <c r="F372" s="55" t="s">
        <v>199</v>
      </c>
      <c r="G372" s="26"/>
      <c r="H372" s="26"/>
      <c r="I372" s="26" t="e">
        <f aca="true" t="shared" si="13" ref="I372:I434">SUM(H372/G372*100)</f>
        <v>#DIV/0!</v>
      </c>
    </row>
    <row r="373" spans="1:9" s="39" customFormat="1" ht="15" hidden="1">
      <c r="A373" s="291" t="s">
        <v>1127</v>
      </c>
      <c r="B373" s="50"/>
      <c r="C373" s="73" t="s">
        <v>1190</v>
      </c>
      <c r="D373" s="73" t="s">
        <v>1140</v>
      </c>
      <c r="E373" s="73" t="s">
        <v>1128</v>
      </c>
      <c r="F373" s="55"/>
      <c r="G373" s="26">
        <f>SUM(G374)</f>
        <v>0</v>
      </c>
      <c r="H373" s="26">
        <f>SUM(H374)</f>
        <v>0</v>
      </c>
      <c r="I373" s="26" t="e">
        <f t="shared" si="13"/>
        <v>#DIV/0!</v>
      </c>
    </row>
    <row r="374" spans="1:9" s="39" customFormat="1" ht="15" hidden="1">
      <c r="A374" s="285" t="s">
        <v>1147</v>
      </c>
      <c r="B374" s="69"/>
      <c r="C374" s="24" t="s">
        <v>1190</v>
      </c>
      <c r="D374" s="24" t="s">
        <v>1140</v>
      </c>
      <c r="E374" s="73" t="s">
        <v>1128</v>
      </c>
      <c r="F374" s="55" t="s">
        <v>1148</v>
      </c>
      <c r="G374" s="26"/>
      <c r="H374" s="26"/>
      <c r="I374" s="26" t="e">
        <f t="shared" si="13"/>
        <v>#DIV/0!</v>
      </c>
    </row>
    <row r="375" spans="1:9" s="39" customFormat="1" ht="28.5" hidden="1">
      <c r="A375" s="285" t="s">
        <v>1129</v>
      </c>
      <c r="B375" s="69"/>
      <c r="C375" s="24" t="s">
        <v>1190</v>
      </c>
      <c r="D375" s="24" t="s">
        <v>1140</v>
      </c>
      <c r="E375" s="51" t="s">
        <v>1130</v>
      </c>
      <c r="F375" s="55"/>
      <c r="G375" s="26"/>
      <c r="H375" s="26"/>
      <c r="I375" s="26" t="e">
        <f t="shared" si="13"/>
        <v>#DIV/0!</v>
      </c>
    </row>
    <row r="376" spans="1:9" s="39" customFormat="1" ht="28.5" hidden="1">
      <c r="A376" s="285" t="s">
        <v>457</v>
      </c>
      <c r="B376" s="69"/>
      <c r="C376" s="24" t="s">
        <v>1190</v>
      </c>
      <c r="D376" s="24" t="s">
        <v>1140</v>
      </c>
      <c r="E376" s="51" t="s">
        <v>458</v>
      </c>
      <c r="F376" s="55"/>
      <c r="G376" s="26">
        <f>SUM(G377)</f>
        <v>0</v>
      </c>
      <c r="H376" s="26">
        <f>SUM(H377)</f>
        <v>0</v>
      </c>
      <c r="I376" s="26" t="e">
        <f t="shared" si="13"/>
        <v>#DIV/0!</v>
      </c>
    </row>
    <row r="377" spans="1:9" s="39" customFormat="1" ht="15" hidden="1">
      <c r="A377" s="285" t="s">
        <v>1001</v>
      </c>
      <c r="B377" s="69"/>
      <c r="C377" s="24" t="s">
        <v>1190</v>
      </c>
      <c r="D377" s="24" t="s">
        <v>1140</v>
      </c>
      <c r="E377" s="73" t="s">
        <v>458</v>
      </c>
      <c r="F377" s="55" t="s">
        <v>1002</v>
      </c>
      <c r="G377" s="26"/>
      <c r="H377" s="26"/>
      <c r="I377" s="26" t="e">
        <f t="shared" si="13"/>
        <v>#DIV/0!</v>
      </c>
    </row>
    <row r="378" spans="1:9" s="39" customFormat="1" ht="28.5" hidden="1">
      <c r="A378" s="285" t="s">
        <v>459</v>
      </c>
      <c r="B378" s="69"/>
      <c r="C378" s="24" t="s">
        <v>1190</v>
      </c>
      <c r="D378" s="24" t="s">
        <v>1140</v>
      </c>
      <c r="E378" s="51" t="s">
        <v>460</v>
      </c>
      <c r="F378" s="55"/>
      <c r="G378" s="26">
        <f>SUM(G379)</f>
        <v>0</v>
      </c>
      <c r="H378" s="26">
        <f>SUM(H379)</f>
        <v>0</v>
      </c>
      <c r="I378" s="26" t="e">
        <f t="shared" si="13"/>
        <v>#DIV/0!</v>
      </c>
    </row>
    <row r="379" spans="1:9" s="39" customFormat="1" ht="21.75" customHeight="1" hidden="1">
      <c r="A379" s="285" t="s">
        <v>1001</v>
      </c>
      <c r="B379" s="69"/>
      <c r="C379" s="24" t="s">
        <v>1190</v>
      </c>
      <c r="D379" s="24" t="s">
        <v>1140</v>
      </c>
      <c r="E379" s="73" t="s">
        <v>460</v>
      </c>
      <c r="F379" s="55" t="s">
        <v>1002</v>
      </c>
      <c r="G379" s="26"/>
      <c r="H379" s="26"/>
      <c r="I379" s="26" t="e">
        <f t="shared" si="13"/>
        <v>#DIV/0!</v>
      </c>
    </row>
    <row r="380" spans="1:9" s="39" customFormat="1" ht="21.75" customHeight="1" hidden="1">
      <c r="A380" s="285" t="s">
        <v>1115</v>
      </c>
      <c r="B380" s="69"/>
      <c r="C380" s="24" t="s">
        <v>1190</v>
      </c>
      <c r="D380" s="24" t="s">
        <v>1140</v>
      </c>
      <c r="E380" s="73" t="s">
        <v>1116</v>
      </c>
      <c r="F380" s="55"/>
      <c r="G380" s="26">
        <f>SUM(G381)</f>
        <v>0</v>
      </c>
      <c r="H380" s="26"/>
      <c r="I380" s="26"/>
    </row>
    <row r="381" spans="1:9" s="39" customFormat="1" ht="45.75" customHeight="1" hidden="1">
      <c r="A381" s="285" t="s">
        <v>908</v>
      </c>
      <c r="B381" s="69"/>
      <c r="C381" s="24" t="s">
        <v>1190</v>
      </c>
      <c r="D381" s="24" t="s">
        <v>1140</v>
      </c>
      <c r="E381" s="51" t="s">
        <v>1120</v>
      </c>
      <c r="F381" s="55"/>
      <c r="G381" s="26">
        <f>SUM(G382)</f>
        <v>0</v>
      </c>
      <c r="H381" s="26"/>
      <c r="I381" s="26"/>
    </row>
    <row r="382" spans="1:9" s="39" customFormat="1" ht="32.25" customHeight="1" hidden="1">
      <c r="A382" s="285" t="s">
        <v>1147</v>
      </c>
      <c r="B382" s="69"/>
      <c r="C382" s="24" t="s">
        <v>1190</v>
      </c>
      <c r="D382" s="24" t="s">
        <v>1140</v>
      </c>
      <c r="E382" s="51" t="s">
        <v>1120</v>
      </c>
      <c r="F382" s="52" t="s">
        <v>1148</v>
      </c>
      <c r="G382" s="26"/>
      <c r="H382" s="26"/>
      <c r="I382" s="26"/>
    </row>
    <row r="383" spans="1:9" s="39" customFormat="1" ht="15" hidden="1">
      <c r="A383" s="342" t="s">
        <v>1186</v>
      </c>
      <c r="B383" s="50"/>
      <c r="C383" s="50" t="s">
        <v>1190</v>
      </c>
      <c r="D383" s="50" t="s">
        <v>1140</v>
      </c>
      <c r="E383" s="50" t="s">
        <v>1187</v>
      </c>
      <c r="F383" s="55"/>
      <c r="G383" s="26">
        <f>SUM(G384+G387)+G391</f>
        <v>0</v>
      </c>
      <c r="H383" s="26">
        <f>SUM(H384+H387)+H391</f>
        <v>278.1</v>
      </c>
      <c r="I383" s="26" t="e">
        <f t="shared" si="13"/>
        <v>#DIV/0!</v>
      </c>
    </row>
    <row r="384" spans="1:9" s="39" customFormat="1" ht="28.5" customHeight="1" hidden="1">
      <c r="A384" s="285" t="s">
        <v>1147</v>
      </c>
      <c r="B384" s="50"/>
      <c r="C384" s="50" t="s">
        <v>1190</v>
      </c>
      <c r="D384" s="50" t="s">
        <v>1140</v>
      </c>
      <c r="E384" s="50" t="s">
        <v>1187</v>
      </c>
      <c r="F384" s="55" t="s">
        <v>1148</v>
      </c>
      <c r="G384" s="75">
        <f>SUM(G385:G386)</f>
        <v>0</v>
      </c>
      <c r="H384" s="75">
        <f>SUM(H385:H386)</f>
        <v>0</v>
      </c>
      <c r="I384" s="26" t="e">
        <f t="shared" si="13"/>
        <v>#DIV/0!</v>
      </c>
    </row>
    <row r="385" spans="1:9" s="39" customFormat="1" ht="0.75" customHeight="1" hidden="1">
      <c r="A385" s="342" t="s">
        <v>461</v>
      </c>
      <c r="B385" s="50"/>
      <c r="C385" s="50" t="s">
        <v>1190</v>
      </c>
      <c r="D385" s="50" t="s">
        <v>1140</v>
      </c>
      <c r="E385" s="50" t="s">
        <v>462</v>
      </c>
      <c r="F385" s="55" t="s">
        <v>1148</v>
      </c>
      <c r="G385" s="75"/>
      <c r="H385" s="75"/>
      <c r="I385" s="26" t="e">
        <f t="shared" si="13"/>
        <v>#DIV/0!</v>
      </c>
    </row>
    <row r="386" spans="1:9" s="70" customFormat="1" ht="16.5" customHeight="1" hidden="1">
      <c r="A386" s="342" t="s">
        <v>463</v>
      </c>
      <c r="B386" s="50"/>
      <c r="C386" s="50" t="s">
        <v>1190</v>
      </c>
      <c r="D386" s="50" t="s">
        <v>1140</v>
      </c>
      <c r="E386" s="50" t="s">
        <v>464</v>
      </c>
      <c r="F386" s="55" t="s">
        <v>1148</v>
      </c>
      <c r="G386" s="75"/>
      <c r="H386" s="75"/>
      <c r="I386" s="26" t="e">
        <f t="shared" si="13"/>
        <v>#DIV/0!</v>
      </c>
    </row>
    <row r="387" spans="1:9" s="70" customFormat="1" ht="15" hidden="1">
      <c r="A387" s="342" t="s">
        <v>198</v>
      </c>
      <c r="B387" s="50"/>
      <c r="C387" s="50" t="s">
        <v>1190</v>
      </c>
      <c r="D387" s="50" t="s">
        <v>1140</v>
      </c>
      <c r="E387" s="50" t="s">
        <v>1187</v>
      </c>
      <c r="F387" s="55" t="s">
        <v>199</v>
      </c>
      <c r="G387" s="54">
        <f>SUM(G388)</f>
        <v>0</v>
      </c>
      <c r="H387" s="54">
        <f>SUM(H388)</f>
        <v>167.7</v>
      </c>
      <c r="I387" s="26" t="e">
        <f t="shared" si="13"/>
        <v>#DIV/0!</v>
      </c>
    </row>
    <row r="388" spans="1:9" ht="47.25" customHeight="1" hidden="1">
      <c r="A388" s="291" t="s">
        <v>465</v>
      </c>
      <c r="B388" s="50"/>
      <c r="C388" s="51" t="s">
        <v>1190</v>
      </c>
      <c r="D388" s="51" t="s">
        <v>1140</v>
      </c>
      <c r="E388" s="51" t="s">
        <v>466</v>
      </c>
      <c r="F388" s="52" t="s">
        <v>199</v>
      </c>
      <c r="G388" s="26">
        <f>SUM(G390)</f>
        <v>0</v>
      </c>
      <c r="H388" s="26">
        <f>SUM(H390)</f>
        <v>167.7</v>
      </c>
      <c r="I388" s="26" t="e">
        <f t="shared" si="13"/>
        <v>#DIV/0!</v>
      </c>
    </row>
    <row r="389" spans="1:9" ht="29.25" customHeight="1" hidden="1">
      <c r="A389" s="291" t="s">
        <v>275</v>
      </c>
      <c r="B389" s="50"/>
      <c r="C389" s="51"/>
      <c r="D389" s="51"/>
      <c r="E389" s="51"/>
      <c r="F389" s="52"/>
      <c r="G389" s="26"/>
      <c r="H389" s="26"/>
      <c r="I389" s="26"/>
    </row>
    <row r="390" spans="1:9" s="39" customFormat="1" ht="47.25" customHeight="1" hidden="1">
      <c r="A390" s="287" t="s">
        <v>1125</v>
      </c>
      <c r="B390" s="50"/>
      <c r="C390" s="51" t="s">
        <v>1190</v>
      </c>
      <c r="D390" s="51" t="s">
        <v>1140</v>
      </c>
      <c r="E390" s="51" t="s">
        <v>467</v>
      </c>
      <c r="F390" s="52" t="s">
        <v>199</v>
      </c>
      <c r="G390" s="26"/>
      <c r="H390" s="26">
        <v>167.7</v>
      </c>
      <c r="I390" s="26" t="e">
        <f t="shared" si="13"/>
        <v>#DIV/0!</v>
      </c>
    </row>
    <row r="391" spans="1:9" s="39" customFormat="1" ht="47.25" customHeight="1" hidden="1">
      <c r="A391" s="296" t="s">
        <v>468</v>
      </c>
      <c r="B391" s="50"/>
      <c r="C391" s="51" t="s">
        <v>1190</v>
      </c>
      <c r="D391" s="51" t="s">
        <v>1140</v>
      </c>
      <c r="E391" s="51" t="s">
        <v>469</v>
      </c>
      <c r="F391" s="52"/>
      <c r="G391" s="26">
        <f>SUM(G392)</f>
        <v>0</v>
      </c>
      <c r="H391" s="26">
        <f>SUM(H392)</f>
        <v>110.4</v>
      </c>
      <c r="I391" s="26" t="e">
        <f t="shared" si="13"/>
        <v>#DIV/0!</v>
      </c>
    </row>
    <row r="392" spans="1:9" s="39" customFormat="1" ht="19.5" customHeight="1" hidden="1">
      <c r="A392" s="342" t="s">
        <v>198</v>
      </c>
      <c r="B392" s="50"/>
      <c r="C392" s="51" t="s">
        <v>1190</v>
      </c>
      <c r="D392" s="51" t="s">
        <v>1140</v>
      </c>
      <c r="E392" s="51" t="s">
        <v>469</v>
      </c>
      <c r="F392" s="52" t="s">
        <v>199</v>
      </c>
      <c r="G392" s="26"/>
      <c r="H392" s="26">
        <v>110.4</v>
      </c>
      <c r="I392" s="26" t="e">
        <f t="shared" si="13"/>
        <v>#DIV/0!</v>
      </c>
    </row>
    <row r="393" spans="1:9" ht="21" customHeight="1" hidden="1">
      <c r="A393" s="291" t="s">
        <v>470</v>
      </c>
      <c r="B393" s="36"/>
      <c r="C393" s="37" t="s">
        <v>1190</v>
      </c>
      <c r="D393" s="37" t="s">
        <v>1142</v>
      </c>
      <c r="E393" s="37"/>
      <c r="F393" s="28"/>
      <c r="G393" s="26">
        <f>SUM(G400+G412)+G394+G408+G397</f>
        <v>0</v>
      </c>
      <c r="H393" s="26">
        <f>SUM(H400+H412)+H394+H408+H397</f>
        <v>24530.6</v>
      </c>
      <c r="I393" s="26" t="e">
        <f t="shared" si="13"/>
        <v>#DIV/0!</v>
      </c>
    </row>
    <row r="394" spans="1:9" ht="18" customHeight="1" hidden="1">
      <c r="A394" s="285" t="s">
        <v>660</v>
      </c>
      <c r="B394" s="23"/>
      <c r="C394" s="37" t="s">
        <v>1190</v>
      </c>
      <c r="D394" s="37" t="s">
        <v>1142</v>
      </c>
      <c r="E394" s="37" t="s">
        <v>662</v>
      </c>
      <c r="F394" s="28"/>
      <c r="G394" s="26">
        <f>SUM(G395)</f>
        <v>0</v>
      </c>
      <c r="H394" s="26">
        <f>SUM(H395)</f>
        <v>0</v>
      </c>
      <c r="I394" s="26" t="e">
        <f t="shared" si="13"/>
        <v>#DIV/0!</v>
      </c>
    </row>
    <row r="395" spans="1:9" ht="15.75" customHeight="1" hidden="1">
      <c r="A395" s="285" t="s">
        <v>638</v>
      </c>
      <c r="B395" s="23"/>
      <c r="C395" s="37" t="s">
        <v>1190</v>
      </c>
      <c r="D395" s="37" t="s">
        <v>1142</v>
      </c>
      <c r="E395" s="37" t="s">
        <v>639</v>
      </c>
      <c r="F395" s="25"/>
      <c r="G395" s="26">
        <f>SUM(G396)</f>
        <v>0</v>
      </c>
      <c r="H395" s="26">
        <f>SUM(H396)</f>
        <v>0</v>
      </c>
      <c r="I395" s="26" t="e">
        <f t="shared" si="13"/>
        <v>#DIV/0!</v>
      </c>
    </row>
    <row r="396" spans="1:9" ht="15.75" customHeight="1" hidden="1">
      <c r="A396" s="285" t="s">
        <v>1147</v>
      </c>
      <c r="B396" s="23"/>
      <c r="C396" s="37" t="s">
        <v>1190</v>
      </c>
      <c r="D396" s="37" t="s">
        <v>1142</v>
      </c>
      <c r="E396" s="37" t="s">
        <v>639</v>
      </c>
      <c r="F396" s="25" t="s">
        <v>1148</v>
      </c>
      <c r="G396" s="26"/>
      <c r="H396" s="26"/>
      <c r="I396" s="26" t="e">
        <f t="shared" si="13"/>
        <v>#DIV/0!</v>
      </c>
    </row>
    <row r="397" spans="1:9" ht="27.75" customHeight="1" hidden="1">
      <c r="A397" s="285" t="s">
        <v>932</v>
      </c>
      <c r="B397" s="23"/>
      <c r="C397" s="37" t="s">
        <v>1190</v>
      </c>
      <c r="D397" s="37" t="s">
        <v>1142</v>
      </c>
      <c r="E397" s="37" t="s">
        <v>933</v>
      </c>
      <c r="F397" s="25"/>
      <c r="G397" s="26">
        <f>SUM(G398)</f>
        <v>0</v>
      </c>
      <c r="H397" s="26">
        <f>SUM(H398)</f>
        <v>9483.6</v>
      </c>
      <c r="I397" s="26" t="e">
        <f t="shared" si="13"/>
        <v>#DIV/0!</v>
      </c>
    </row>
    <row r="398" spans="1:9" ht="33" customHeight="1" hidden="1">
      <c r="A398" s="285" t="s">
        <v>934</v>
      </c>
      <c r="B398" s="23"/>
      <c r="C398" s="37" t="s">
        <v>1190</v>
      </c>
      <c r="D398" s="37" t="s">
        <v>1142</v>
      </c>
      <c r="E398" s="37" t="s">
        <v>935</v>
      </c>
      <c r="F398" s="25"/>
      <c r="G398" s="26">
        <f>SUM(G399)</f>
        <v>0</v>
      </c>
      <c r="H398" s="26">
        <f>SUM(H399)</f>
        <v>9483.6</v>
      </c>
      <c r="I398" s="26" t="e">
        <f t="shared" si="13"/>
        <v>#DIV/0!</v>
      </c>
    </row>
    <row r="399" spans="1:9" ht="15.75" customHeight="1" hidden="1">
      <c r="A399" s="285" t="s">
        <v>1001</v>
      </c>
      <c r="B399" s="23"/>
      <c r="C399" s="37" t="s">
        <v>1190</v>
      </c>
      <c r="D399" s="37" t="s">
        <v>1142</v>
      </c>
      <c r="E399" s="37" t="s">
        <v>935</v>
      </c>
      <c r="F399" s="25" t="s">
        <v>1002</v>
      </c>
      <c r="G399" s="26"/>
      <c r="H399" s="26">
        <v>9483.6</v>
      </c>
      <c r="I399" s="26" t="e">
        <f t="shared" si="13"/>
        <v>#DIV/0!</v>
      </c>
    </row>
    <row r="400" spans="1:9" ht="18" customHeight="1" hidden="1">
      <c r="A400" s="292" t="s">
        <v>936</v>
      </c>
      <c r="B400" s="36"/>
      <c r="C400" s="37" t="s">
        <v>1190</v>
      </c>
      <c r="D400" s="37" t="s">
        <v>1142</v>
      </c>
      <c r="E400" s="37" t="s">
        <v>472</v>
      </c>
      <c r="F400" s="28"/>
      <c r="G400" s="26">
        <f>SUM(G401+G403+G405)</f>
        <v>0</v>
      </c>
      <c r="H400" s="26">
        <f>SUM(H401+H403+H405)</f>
        <v>15047</v>
      </c>
      <c r="I400" s="26" t="e">
        <f t="shared" si="13"/>
        <v>#DIV/0!</v>
      </c>
    </row>
    <row r="401" spans="1:9" ht="42.75" hidden="1">
      <c r="A401" s="342" t="s">
        <v>937</v>
      </c>
      <c r="B401" s="36"/>
      <c r="C401" s="37" t="s">
        <v>1190</v>
      </c>
      <c r="D401" s="37" t="s">
        <v>1142</v>
      </c>
      <c r="E401" s="37" t="s">
        <v>938</v>
      </c>
      <c r="F401" s="28"/>
      <c r="G401" s="26">
        <f>SUM(G402)</f>
        <v>0</v>
      </c>
      <c r="H401" s="26">
        <f>SUM(H402)</f>
        <v>0</v>
      </c>
      <c r="I401" s="26" t="e">
        <f t="shared" si="13"/>
        <v>#DIV/0!</v>
      </c>
    </row>
    <row r="402" spans="1:9" s="82" customFormat="1" ht="15" hidden="1">
      <c r="A402" s="285" t="s">
        <v>1001</v>
      </c>
      <c r="B402" s="23"/>
      <c r="C402" s="24" t="s">
        <v>1190</v>
      </c>
      <c r="D402" s="37" t="s">
        <v>1142</v>
      </c>
      <c r="E402" s="37" t="s">
        <v>938</v>
      </c>
      <c r="F402" s="25" t="s">
        <v>1002</v>
      </c>
      <c r="G402" s="26"/>
      <c r="H402" s="26"/>
      <c r="I402" s="26" t="e">
        <f t="shared" si="13"/>
        <v>#DIV/0!</v>
      </c>
    </row>
    <row r="403" spans="1:9" ht="42.75" hidden="1">
      <c r="A403" s="342" t="s">
        <v>441</v>
      </c>
      <c r="B403" s="23"/>
      <c r="C403" s="37" t="s">
        <v>1190</v>
      </c>
      <c r="D403" s="37" t="s">
        <v>1142</v>
      </c>
      <c r="E403" s="37" t="s">
        <v>442</v>
      </c>
      <c r="F403" s="25"/>
      <c r="G403" s="26">
        <f>SUM(G404)</f>
        <v>0</v>
      </c>
      <c r="H403" s="26">
        <f>SUM(H404)</f>
        <v>0</v>
      </c>
      <c r="I403" s="26" t="e">
        <f t="shared" si="13"/>
        <v>#DIV/0!</v>
      </c>
    </row>
    <row r="404" spans="1:9" s="82" customFormat="1" ht="20.25" customHeight="1" hidden="1">
      <c r="A404" s="285" t="s">
        <v>1001</v>
      </c>
      <c r="B404" s="23"/>
      <c r="C404" s="37" t="s">
        <v>1190</v>
      </c>
      <c r="D404" s="37" t="s">
        <v>1142</v>
      </c>
      <c r="E404" s="37" t="s">
        <v>442</v>
      </c>
      <c r="F404" s="25" t="s">
        <v>1002</v>
      </c>
      <c r="G404" s="26"/>
      <c r="H404" s="26"/>
      <c r="I404" s="26" t="e">
        <f t="shared" si="13"/>
        <v>#DIV/0!</v>
      </c>
    </row>
    <row r="405" spans="1:9" ht="14.25" customHeight="1" hidden="1">
      <c r="A405" s="287" t="s">
        <v>443</v>
      </c>
      <c r="B405" s="36"/>
      <c r="C405" s="37" t="s">
        <v>1190</v>
      </c>
      <c r="D405" s="37" t="s">
        <v>1142</v>
      </c>
      <c r="E405" s="37" t="s">
        <v>444</v>
      </c>
      <c r="F405" s="28"/>
      <c r="G405" s="26">
        <f>SUM(G406:G407)</f>
        <v>0</v>
      </c>
      <c r="H405" s="26">
        <f>SUM(H406:H407)</f>
        <v>15047</v>
      </c>
      <c r="I405" s="26" t="e">
        <f t="shared" si="13"/>
        <v>#DIV/0!</v>
      </c>
    </row>
    <row r="406" spans="1:9" ht="15" customHeight="1" hidden="1">
      <c r="A406" s="285" t="s">
        <v>1001</v>
      </c>
      <c r="B406" s="36"/>
      <c r="C406" s="37" t="s">
        <v>1190</v>
      </c>
      <c r="D406" s="37" t="s">
        <v>1142</v>
      </c>
      <c r="E406" s="37" t="s">
        <v>444</v>
      </c>
      <c r="F406" s="25" t="s">
        <v>1002</v>
      </c>
      <c r="G406" s="54"/>
      <c r="H406" s="54">
        <f>878+4272.1+2990.6</f>
        <v>8140.700000000001</v>
      </c>
      <c r="I406" s="26" t="e">
        <f t="shared" si="13"/>
        <v>#DIV/0!</v>
      </c>
    </row>
    <row r="407" spans="1:9" ht="27" customHeight="1" hidden="1">
      <c r="A407" s="285" t="s">
        <v>1147</v>
      </c>
      <c r="B407" s="36"/>
      <c r="C407" s="37" t="s">
        <v>1190</v>
      </c>
      <c r="D407" s="37" t="s">
        <v>1142</v>
      </c>
      <c r="E407" s="37" t="s">
        <v>444</v>
      </c>
      <c r="F407" s="25" t="s">
        <v>1148</v>
      </c>
      <c r="G407" s="54"/>
      <c r="H407" s="54">
        <v>6906.3</v>
      </c>
      <c r="I407" s="26" t="e">
        <f t="shared" si="13"/>
        <v>#DIV/0!</v>
      </c>
    </row>
    <row r="408" spans="1:9" ht="17.25" customHeight="1" hidden="1">
      <c r="A408" s="287" t="s">
        <v>990</v>
      </c>
      <c r="B408" s="50"/>
      <c r="C408" s="37" t="s">
        <v>1190</v>
      </c>
      <c r="D408" s="37" t="s">
        <v>1142</v>
      </c>
      <c r="E408" s="51" t="s">
        <v>991</v>
      </c>
      <c r="F408" s="28"/>
      <c r="G408" s="54">
        <f aca="true" t="shared" si="14" ref="G408:H410">SUM(G409)</f>
        <v>0</v>
      </c>
      <c r="H408" s="54">
        <f t="shared" si="14"/>
        <v>0</v>
      </c>
      <c r="I408" s="26" t="e">
        <f t="shared" si="13"/>
        <v>#DIV/0!</v>
      </c>
    </row>
    <row r="409" spans="1:9" ht="15.75" customHeight="1" hidden="1">
      <c r="A409" s="285" t="s">
        <v>1123</v>
      </c>
      <c r="B409" s="50"/>
      <c r="C409" s="37" t="s">
        <v>1190</v>
      </c>
      <c r="D409" s="37" t="s">
        <v>1142</v>
      </c>
      <c r="E409" s="51" t="s">
        <v>1124</v>
      </c>
      <c r="F409" s="28"/>
      <c r="G409" s="54">
        <f t="shared" si="14"/>
        <v>0</v>
      </c>
      <c r="H409" s="54">
        <f t="shared" si="14"/>
        <v>0</v>
      </c>
      <c r="I409" s="26" t="e">
        <f t="shared" si="13"/>
        <v>#DIV/0!</v>
      </c>
    </row>
    <row r="410" spans="1:9" ht="13.5" customHeight="1" hidden="1">
      <c r="A410" s="287" t="s">
        <v>445</v>
      </c>
      <c r="B410" s="23"/>
      <c r="C410" s="37" t="s">
        <v>1190</v>
      </c>
      <c r="D410" s="37" t="s">
        <v>1142</v>
      </c>
      <c r="E410" s="51" t="s">
        <v>446</v>
      </c>
      <c r="F410" s="28"/>
      <c r="G410" s="54">
        <f t="shared" si="14"/>
        <v>0</v>
      </c>
      <c r="H410" s="54">
        <f t="shared" si="14"/>
        <v>0</v>
      </c>
      <c r="I410" s="26" t="e">
        <f t="shared" si="13"/>
        <v>#DIV/0!</v>
      </c>
    </row>
    <row r="411" spans="1:9" ht="28.5" customHeight="1" hidden="1">
      <c r="A411" s="285" t="s">
        <v>1147</v>
      </c>
      <c r="B411" s="36"/>
      <c r="C411" s="37" t="s">
        <v>1190</v>
      </c>
      <c r="D411" s="37" t="s">
        <v>1142</v>
      </c>
      <c r="E411" s="51" t="s">
        <v>446</v>
      </c>
      <c r="F411" s="25" t="s">
        <v>1148</v>
      </c>
      <c r="G411" s="54"/>
      <c r="H411" s="54"/>
      <c r="I411" s="26" t="e">
        <f t="shared" si="13"/>
        <v>#DIV/0!</v>
      </c>
    </row>
    <row r="412" spans="1:9" ht="15" hidden="1">
      <c r="A412" s="342" t="s">
        <v>1186</v>
      </c>
      <c r="B412" s="77"/>
      <c r="C412" s="50" t="s">
        <v>1190</v>
      </c>
      <c r="D412" s="50" t="s">
        <v>1142</v>
      </c>
      <c r="E412" s="50" t="s">
        <v>1187</v>
      </c>
      <c r="F412" s="55"/>
      <c r="G412" s="54">
        <f>SUM(G413)</f>
        <v>0</v>
      </c>
      <c r="H412" s="54">
        <f>SUM(H413)</f>
        <v>0</v>
      </c>
      <c r="I412" s="26" t="e">
        <f t="shared" si="13"/>
        <v>#DIV/0!</v>
      </c>
    </row>
    <row r="413" spans="1:9" s="85" customFormat="1" ht="42.75" hidden="1">
      <c r="A413" s="297" t="s">
        <v>964</v>
      </c>
      <c r="B413" s="77"/>
      <c r="C413" s="51" t="s">
        <v>1190</v>
      </c>
      <c r="D413" s="51" t="s">
        <v>1142</v>
      </c>
      <c r="E413" s="51" t="s">
        <v>965</v>
      </c>
      <c r="F413" s="25"/>
      <c r="G413" s="54">
        <f>SUM(G414)+G415+G417+G416</f>
        <v>0</v>
      </c>
      <c r="H413" s="54">
        <f>SUM(H414)+H415+H417</f>
        <v>0</v>
      </c>
      <c r="I413" s="26" t="e">
        <f t="shared" si="13"/>
        <v>#DIV/0!</v>
      </c>
    </row>
    <row r="414" spans="1:9" ht="28.5" hidden="1">
      <c r="A414" s="285" t="s">
        <v>447</v>
      </c>
      <c r="B414" s="77"/>
      <c r="C414" s="51" t="s">
        <v>1190</v>
      </c>
      <c r="D414" s="51" t="s">
        <v>1142</v>
      </c>
      <c r="E414" s="51" t="s">
        <v>448</v>
      </c>
      <c r="F414" s="25" t="s">
        <v>1148</v>
      </c>
      <c r="G414" s="54">
        <f>600-600</f>
        <v>0</v>
      </c>
      <c r="H414" s="54">
        <f>600-600</f>
        <v>0</v>
      </c>
      <c r="I414" s="26" t="e">
        <f t="shared" si="13"/>
        <v>#DIV/0!</v>
      </c>
    </row>
    <row r="415" spans="1:9" ht="28.5" hidden="1">
      <c r="A415" s="342" t="s">
        <v>449</v>
      </c>
      <c r="B415" s="77"/>
      <c r="C415" s="51" t="s">
        <v>1190</v>
      </c>
      <c r="D415" s="51" t="s">
        <v>1142</v>
      </c>
      <c r="E415" s="51" t="s">
        <v>450</v>
      </c>
      <c r="F415" s="25" t="s">
        <v>1148</v>
      </c>
      <c r="G415" s="54">
        <f>900-900</f>
        <v>0</v>
      </c>
      <c r="H415" s="54">
        <f>900-900</f>
        <v>0</v>
      </c>
      <c r="I415" s="26" t="e">
        <f t="shared" si="13"/>
        <v>#DIV/0!</v>
      </c>
    </row>
    <row r="416" spans="1:9" ht="15" hidden="1">
      <c r="A416" s="285" t="s">
        <v>1147</v>
      </c>
      <c r="B416" s="77"/>
      <c r="C416" s="51" t="s">
        <v>1190</v>
      </c>
      <c r="D416" s="51" t="s">
        <v>1142</v>
      </c>
      <c r="E416" s="51" t="s">
        <v>965</v>
      </c>
      <c r="F416" s="25" t="s">
        <v>1148</v>
      </c>
      <c r="G416" s="54">
        <f>5825.2-5825.2</f>
        <v>0</v>
      </c>
      <c r="H416" s="54"/>
      <c r="I416" s="26" t="e">
        <f t="shared" si="13"/>
        <v>#DIV/0!</v>
      </c>
    </row>
    <row r="417" spans="1:9" ht="28.5" hidden="1">
      <c r="A417" s="296" t="s">
        <v>453</v>
      </c>
      <c r="B417" s="77"/>
      <c r="C417" s="51" t="s">
        <v>1190</v>
      </c>
      <c r="D417" s="51" t="s">
        <v>1142</v>
      </c>
      <c r="E417" s="51" t="s">
        <v>454</v>
      </c>
      <c r="F417" s="25"/>
      <c r="G417" s="54">
        <f>SUM(G418)</f>
        <v>0</v>
      </c>
      <c r="H417" s="54">
        <f>SUM(H418)</f>
        <v>0</v>
      </c>
      <c r="I417" s="26" t="e">
        <f t="shared" si="13"/>
        <v>#DIV/0!</v>
      </c>
    </row>
    <row r="418" spans="1:9" ht="15" hidden="1">
      <c r="A418" s="342" t="s">
        <v>445</v>
      </c>
      <c r="B418" s="77"/>
      <c r="C418" s="51" t="s">
        <v>1190</v>
      </c>
      <c r="D418" s="51" t="s">
        <v>1142</v>
      </c>
      <c r="E418" s="51" t="s">
        <v>455</v>
      </c>
      <c r="F418" s="25"/>
      <c r="G418" s="54">
        <f>SUM(G419)</f>
        <v>0</v>
      </c>
      <c r="H418" s="54">
        <f>SUM(H419)</f>
        <v>0</v>
      </c>
      <c r="I418" s="26" t="e">
        <f t="shared" si="13"/>
        <v>#DIV/0!</v>
      </c>
    </row>
    <row r="419" spans="1:9" ht="15" hidden="1">
      <c r="A419" s="285" t="s">
        <v>1147</v>
      </c>
      <c r="B419" s="77"/>
      <c r="C419" s="51" t="s">
        <v>1190</v>
      </c>
      <c r="D419" s="51" t="s">
        <v>1142</v>
      </c>
      <c r="E419" s="51" t="s">
        <v>455</v>
      </c>
      <c r="F419" s="25" t="s">
        <v>1148</v>
      </c>
      <c r="G419" s="54">
        <f>4200.9-4200.9</f>
        <v>0</v>
      </c>
      <c r="H419" s="54">
        <f>4200.9-4200.9</f>
        <v>0</v>
      </c>
      <c r="I419" s="26" t="e">
        <f t="shared" si="13"/>
        <v>#DIV/0!</v>
      </c>
    </row>
    <row r="420" spans="1:9" s="165" customFormat="1" ht="16.5" customHeight="1" hidden="1">
      <c r="A420" s="291" t="s">
        <v>456</v>
      </c>
      <c r="B420" s="36"/>
      <c r="C420" s="37" t="s">
        <v>1190</v>
      </c>
      <c r="D420" s="37" t="s">
        <v>1150</v>
      </c>
      <c r="E420" s="37"/>
      <c r="F420" s="28"/>
      <c r="G420" s="26">
        <f>SUM(G423+G440)+G421</f>
        <v>0</v>
      </c>
      <c r="H420" s="26">
        <f>SUM(H423+H440)+H421</f>
        <v>71482.59999999999</v>
      </c>
      <c r="I420" s="26" t="e">
        <f t="shared" si="13"/>
        <v>#DIV/0!</v>
      </c>
    </row>
    <row r="421" spans="1:9" s="97" customFormat="1" ht="76.5" customHeight="1" hidden="1">
      <c r="A421" s="291" t="s">
        <v>294</v>
      </c>
      <c r="B421" s="36"/>
      <c r="C421" s="37" t="s">
        <v>1190</v>
      </c>
      <c r="D421" s="37" t="s">
        <v>1150</v>
      </c>
      <c r="E421" s="37" t="s">
        <v>295</v>
      </c>
      <c r="F421" s="28"/>
      <c r="G421" s="26">
        <f>SUM(G422)</f>
        <v>0</v>
      </c>
      <c r="H421" s="26">
        <f>SUM(H422)</f>
        <v>0</v>
      </c>
      <c r="I421" s="26" t="e">
        <f t="shared" si="13"/>
        <v>#DIV/0!</v>
      </c>
    </row>
    <row r="422" spans="1:9" s="97" customFormat="1" ht="61.5" customHeight="1" hidden="1">
      <c r="A422" s="291" t="s">
        <v>296</v>
      </c>
      <c r="B422" s="36"/>
      <c r="C422" s="37" t="s">
        <v>1190</v>
      </c>
      <c r="D422" s="37" t="s">
        <v>1150</v>
      </c>
      <c r="E422" s="37" t="s">
        <v>295</v>
      </c>
      <c r="F422" s="28" t="s">
        <v>297</v>
      </c>
      <c r="G422" s="26"/>
      <c r="H422" s="26"/>
      <c r="I422" s="26" t="e">
        <f t="shared" si="13"/>
        <v>#DIV/0!</v>
      </c>
    </row>
    <row r="423" spans="1:9" s="97" customFormat="1" ht="18.75" customHeight="1" hidden="1">
      <c r="A423" s="291" t="s">
        <v>456</v>
      </c>
      <c r="B423" s="50"/>
      <c r="C423" s="37" t="s">
        <v>1190</v>
      </c>
      <c r="D423" s="37" t="s">
        <v>1150</v>
      </c>
      <c r="E423" s="51" t="s">
        <v>298</v>
      </c>
      <c r="F423" s="52"/>
      <c r="G423" s="26">
        <f>SUM(G424+G429+G434+G437)+G432</f>
        <v>0</v>
      </c>
      <c r="H423" s="26">
        <f>SUM(H424+H429+H434+H437)+H432</f>
        <v>71087.2</v>
      </c>
      <c r="I423" s="26" t="e">
        <f t="shared" si="13"/>
        <v>#DIV/0!</v>
      </c>
    </row>
    <row r="424" spans="1:9" s="97" customFormat="1" ht="15.75" customHeight="1" hidden="1">
      <c r="A424" s="342" t="s">
        <v>299</v>
      </c>
      <c r="B424" s="77"/>
      <c r="C424" s="37" t="s">
        <v>1190</v>
      </c>
      <c r="D424" s="37" t="s">
        <v>1150</v>
      </c>
      <c r="E424" s="51" t="s">
        <v>300</v>
      </c>
      <c r="F424" s="52"/>
      <c r="G424" s="26">
        <f>SUM(G425:G427)</f>
        <v>0</v>
      </c>
      <c r="H424" s="26">
        <f>SUM(H426:H427)</f>
        <v>20816.7</v>
      </c>
      <c r="I424" s="26" t="e">
        <f t="shared" si="13"/>
        <v>#DIV/0!</v>
      </c>
    </row>
    <row r="425" spans="1:9" s="97" customFormat="1" ht="15.75" customHeight="1" hidden="1">
      <c r="A425" s="285" t="s">
        <v>1001</v>
      </c>
      <c r="B425" s="77"/>
      <c r="C425" s="37" t="s">
        <v>1190</v>
      </c>
      <c r="D425" s="37" t="s">
        <v>1150</v>
      </c>
      <c r="E425" s="51" t="s">
        <v>300</v>
      </c>
      <c r="F425" s="52" t="s">
        <v>1002</v>
      </c>
      <c r="G425" s="26"/>
      <c r="H425" s="26"/>
      <c r="I425" s="26"/>
    </row>
    <row r="426" spans="1:9" s="97" customFormat="1" ht="15" hidden="1">
      <c r="A426" s="285" t="s">
        <v>1147</v>
      </c>
      <c r="B426" s="77"/>
      <c r="C426" s="37" t="s">
        <v>1190</v>
      </c>
      <c r="D426" s="37" t="s">
        <v>1150</v>
      </c>
      <c r="E426" s="51" t="s">
        <v>300</v>
      </c>
      <c r="F426" s="52" t="s">
        <v>1148</v>
      </c>
      <c r="G426" s="26"/>
      <c r="H426" s="26">
        <v>20816.7</v>
      </c>
      <c r="I426" s="26" t="e">
        <f t="shared" si="13"/>
        <v>#DIV/0!</v>
      </c>
    </row>
    <row r="427" spans="1:9" s="97" customFormat="1" ht="59.25" customHeight="1" hidden="1">
      <c r="A427" s="285" t="s">
        <v>1182</v>
      </c>
      <c r="B427" s="77"/>
      <c r="C427" s="37" t="s">
        <v>1190</v>
      </c>
      <c r="D427" s="37" t="s">
        <v>1150</v>
      </c>
      <c r="E427" s="51" t="s">
        <v>301</v>
      </c>
      <c r="F427" s="52"/>
      <c r="G427" s="26">
        <f>SUM(G428)</f>
        <v>0</v>
      </c>
      <c r="H427" s="26">
        <f>SUM(H428)</f>
        <v>0</v>
      </c>
      <c r="I427" s="26" t="e">
        <f t="shared" si="13"/>
        <v>#DIV/0!</v>
      </c>
    </row>
    <row r="428" spans="1:9" s="97" customFormat="1" ht="15" hidden="1">
      <c r="A428" s="285" t="s">
        <v>1147</v>
      </c>
      <c r="B428" s="77"/>
      <c r="C428" s="37" t="s">
        <v>1190</v>
      </c>
      <c r="D428" s="37" t="s">
        <v>1150</v>
      </c>
      <c r="E428" s="51" t="s">
        <v>301</v>
      </c>
      <c r="F428" s="52" t="s">
        <v>1148</v>
      </c>
      <c r="G428" s="26"/>
      <c r="H428" s="26"/>
      <c r="I428" s="26" t="e">
        <f t="shared" si="13"/>
        <v>#DIV/0!</v>
      </c>
    </row>
    <row r="429" spans="1:9" s="97" customFormat="1" ht="43.5" customHeight="1" hidden="1">
      <c r="A429" s="342" t="s">
        <v>390</v>
      </c>
      <c r="B429" s="77"/>
      <c r="C429" s="37" t="s">
        <v>1190</v>
      </c>
      <c r="D429" s="37" t="s">
        <v>1150</v>
      </c>
      <c r="E429" s="51" t="s">
        <v>391</v>
      </c>
      <c r="F429" s="52"/>
      <c r="G429" s="26">
        <f>SUM(G431+G430)</f>
        <v>0</v>
      </c>
      <c r="H429" s="26">
        <f>SUM(H431)</f>
        <v>43097.5</v>
      </c>
      <c r="I429" s="26" t="e">
        <f t="shared" si="13"/>
        <v>#DIV/0!</v>
      </c>
    </row>
    <row r="430" spans="1:9" s="39" customFormat="1" ht="15" hidden="1">
      <c r="A430" s="285" t="s">
        <v>1001</v>
      </c>
      <c r="B430" s="77"/>
      <c r="C430" s="37" t="s">
        <v>1190</v>
      </c>
      <c r="D430" s="37" t="s">
        <v>1150</v>
      </c>
      <c r="E430" s="51" t="s">
        <v>391</v>
      </c>
      <c r="F430" s="52" t="s">
        <v>1002</v>
      </c>
      <c r="G430" s="26"/>
      <c r="H430" s="26"/>
      <c r="I430" s="26"/>
    </row>
    <row r="431" spans="1:9" s="97" customFormat="1" ht="14.25" customHeight="1" hidden="1">
      <c r="A431" s="285" t="s">
        <v>1147</v>
      </c>
      <c r="B431" s="77"/>
      <c r="C431" s="37" t="s">
        <v>1190</v>
      </c>
      <c r="D431" s="37" t="s">
        <v>1150</v>
      </c>
      <c r="E431" s="51" t="s">
        <v>391</v>
      </c>
      <c r="F431" s="52" t="s">
        <v>1148</v>
      </c>
      <c r="G431" s="26"/>
      <c r="H431" s="26">
        <v>43097.5</v>
      </c>
      <c r="I431" s="26" t="e">
        <f t="shared" si="13"/>
        <v>#DIV/0!</v>
      </c>
    </row>
    <row r="432" spans="1:9" ht="57" hidden="1">
      <c r="A432" s="285" t="s">
        <v>392</v>
      </c>
      <c r="B432" s="77"/>
      <c r="C432" s="37" t="s">
        <v>1190</v>
      </c>
      <c r="D432" s="37" t="s">
        <v>1150</v>
      </c>
      <c r="E432" s="51" t="s">
        <v>393</v>
      </c>
      <c r="F432" s="52"/>
      <c r="G432" s="26">
        <f>SUM(G433)</f>
        <v>0</v>
      </c>
      <c r="H432" s="26">
        <f>SUM(H433)</f>
        <v>482.9</v>
      </c>
      <c r="I432" s="26" t="e">
        <f t="shared" si="13"/>
        <v>#DIV/0!</v>
      </c>
    </row>
    <row r="433" spans="1:9" ht="29.25" customHeight="1" hidden="1">
      <c r="A433" s="285" t="s">
        <v>1147</v>
      </c>
      <c r="B433" s="77"/>
      <c r="C433" s="37" t="s">
        <v>1190</v>
      </c>
      <c r="D433" s="37" t="s">
        <v>1150</v>
      </c>
      <c r="E433" s="51" t="s">
        <v>393</v>
      </c>
      <c r="F433" s="52" t="s">
        <v>1148</v>
      </c>
      <c r="G433" s="26"/>
      <c r="H433" s="26">
        <v>482.9</v>
      </c>
      <c r="I433" s="26" t="e">
        <f t="shared" si="13"/>
        <v>#DIV/0!</v>
      </c>
    </row>
    <row r="434" spans="1:9" ht="16.5" customHeight="1" hidden="1">
      <c r="A434" s="342" t="s">
        <v>394</v>
      </c>
      <c r="B434" s="77"/>
      <c r="C434" s="37" t="s">
        <v>1190</v>
      </c>
      <c r="D434" s="37" t="s">
        <v>1150</v>
      </c>
      <c r="E434" s="51" t="s">
        <v>395</v>
      </c>
      <c r="F434" s="55"/>
      <c r="G434" s="26">
        <f>SUM(G436+G435)</f>
        <v>0</v>
      </c>
      <c r="H434" s="26">
        <f>SUM(H436)</f>
        <v>489.8</v>
      </c>
      <c r="I434" s="26" t="e">
        <f t="shared" si="13"/>
        <v>#DIV/0!</v>
      </c>
    </row>
    <row r="435" spans="1:9" ht="16.5" customHeight="1" hidden="1">
      <c r="A435" s="285" t="s">
        <v>1001</v>
      </c>
      <c r="B435" s="77"/>
      <c r="C435" s="37" t="s">
        <v>1190</v>
      </c>
      <c r="D435" s="37" t="s">
        <v>1150</v>
      </c>
      <c r="E435" s="51" t="s">
        <v>395</v>
      </c>
      <c r="F435" s="55" t="s">
        <v>1002</v>
      </c>
      <c r="G435" s="26"/>
      <c r="H435" s="26"/>
      <c r="I435" s="26"/>
    </row>
    <row r="436" spans="1:9" s="165" customFormat="1" ht="27.75" customHeight="1" hidden="1">
      <c r="A436" s="285" t="s">
        <v>1147</v>
      </c>
      <c r="B436" s="77"/>
      <c r="C436" s="37" t="s">
        <v>1190</v>
      </c>
      <c r="D436" s="37" t="s">
        <v>1150</v>
      </c>
      <c r="E436" s="51" t="s">
        <v>395</v>
      </c>
      <c r="F436" s="52" t="s">
        <v>1148</v>
      </c>
      <c r="G436" s="26"/>
      <c r="H436" s="26">
        <v>489.8</v>
      </c>
      <c r="I436" s="26" t="e">
        <f aca="true" t="shared" si="15" ref="I436:I499">SUM(H436/G436*100)</f>
        <v>#DIV/0!</v>
      </c>
    </row>
    <row r="437" spans="1:9" s="165" customFormat="1" ht="15" hidden="1">
      <c r="A437" s="342" t="s">
        <v>436</v>
      </c>
      <c r="B437" s="77"/>
      <c r="C437" s="37" t="s">
        <v>1190</v>
      </c>
      <c r="D437" s="37" t="s">
        <v>1150</v>
      </c>
      <c r="E437" s="51" t="s">
        <v>437</v>
      </c>
      <c r="F437" s="52"/>
      <c r="G437" s="26">
        <f>SUM(G439+G438)</f>
        <v>0</v>
      </c>
      <c r="H437" s="26">
        <f>SUM(H439)</f>
        <v>6200.3</v>
      </c>
      <c r="I437" s="26" t="e">
        <f t="shared" si="15"/>
        <v>#DIV/0!</v>
      </c>
    </row>
    <row r="438" spans="1:9" s="165" customFormat="1" ht="15" hidden="1">
      <c r="A438" s="285" t="s">
        <v>1001</v>
      </c>
      <c r="B438" s="77"/>
      <c r="C438" s="37" t="s">
        <v>1190</v>
      </c>
      <c r="D438" s="37" t="s">
        <v>1150</v>
      </c>
      <c r="E438" s="51" t="s">
        <v>437</v>
      </c>
      <c r="F438" s="52" t="s">
        <v>1002</v>
      </c>
      <c r="G438" s="26"/>
      <c r="H438" s="26"/>
      <c r="I438" s="26"/>
    </row>
    <row r="439" spans="1:9" s="165" customFormat="1" ht="27" customHeight="1" hidden="1">
      <c r="A439" s="285" t="s">
        <v>1147</v>
      </c>
      <c r="B439" s="77"/>
      <c r="C439" s="37" t="s">
        <v>1190</v>
      </c>
      <c r="D439" s="37" t="s">
        <v>1150</v>
      </c>
      <c r="E439" s="51" t="s">
        <v>437</v>
      </c>
      <c r="F439" s="52" t="s">
        <v>1148</v>
      </c>
      <c r="G439" s="26"/>
      <c r="H439" s="26">
        <v>6200.3</v>
      </c>
      <c r="I439" s="26" t="e">
        <f t="shared" si="15"/>
        <v>#DIV/0!</v>
      </c>
    </row>
    <row r="440" spans="1:9" s="165" customFormat="1" ht="15" hidden="1">
      <c r="A440" s="342" t="s">
        <v>1186</v>
      </c>
      <c r="B440" s="77"/>
      <c r="C440" s="37" t="s">
        <v>1190</v>
      </c>
      <c r="D440" s="37" t="s">
        <v>1150</v>
      </c>
      <c r="E440" s="51" t="s">
        <v>1187</v>
      </c>
      <c r="F440" s="52"/>
      <c r="G440" s="26">
        <f>SUM(G441,G445)</f>
        <v>0</v>
      </c>
      <c r="H440" s="26">
        <f>SUM(H441)</f>
        <v>395.4</v>
      </c>
      <c r="I440" s="26" t="e">
        <f t="shared" si="15"/>
        <v>#DIV/0!</v>
      </c>
    </row>
    <row r="441" spans="1:9" s="165" customFormat="1" ht="28.5" hidden="1">
      <c r="A441" s="285" t="s">
        <v>440</v>
      </c>
      <c r="B441" s="77"/>
      <c r="C441" s="37" t="s">
        <v>1190</v>
      </c>
      <c r="D441" s="37" t="s">
        <v>1150</v>
      </c>
      <c r="E441" s="51" t="s">
        <v>448</v>
      </c>
      <c r="F441" s="52"/>
      <c r="G441" s="26">
        <f>SUM(G443)+G442</f>
        <v>0</v>
      </c>
      <c r="H441" s="26">
        <f>SUM(H443)+H442</f>
        <v>395.4</v>
      </c>
      <c r="I441" s="26" t="e">
        <f t="shared" si="15"/>
        <v>#DIV/0!</v>
      </c>
    </row>
    <row r="442" spans="1:9" s="165" customFormat="1" ht="29.25" customHeight="1" hidden="1">
      <c r="A442" s="285" t="s">
        <v>1147</v>
      </c>
      <c r="B442" s="77"/>
      <c r="C442" s="37" t="s">
        <v>1190</v>
      </c>
      <c r="D442" s="37" t="s">
        <v>1150</v>
      </c>
      <c r="E442" s="51" t="s">
        <v>448</v>
      </c>
      <c r="F442" s="25" t="s">
        <v>1148</v>
      </c>
      <c r="G442" s="54"/>
      <c r="H442" s="54">
        <v>395.4</v>
      </c>
      <c r="I442" s="26" t="e">
        <f t="shared" si="15"/>
        <v>#DIV/0!</v>
      </c>
    </row>
    <row r="443" spans="1:9" s="165" customFormat="1" ht="39.75" customHeight="1" hidden="1">
      <c r="A443" s="342" t="s">
        <v>438</v>
      </c>
      <c r="B443" s="78"/>
      <c r="C443" s="37" t="s">
        <v>1190</v>
      </c>
      <c r="D443" s="37" t="s">
        <v>1150</v>
      </c>
      <c r="E443" s="51" t="s">
        <v>439</v>
      </c>
      <c r="F443" s="52" t="s">
        <v>1148</v>
      </c>
      <c r="G443" s="54"/>
      <c r="H443" s="54"/>
      <c r="I443" s="26" t="e">
        <f t="shared" si="15"/>
        <v>#DIV/0!</v>
      </c>
    </row>
    <row r="444" spans="1:9" s="165" customFormat="1" ht="26.25" customHeight="1" hidden="1">
      <c r="A444" s="296" t="s">
        <v>255</v>
      </c>
      <c r="B444" s="78"/>
      <c r="C444" s="37" t="s">
        <v>1190</v>
      </c>
      <c r="D444" s="37" t="s">
        <v>1150</v>
      </c>
      <c r="E444" s="51" t="s">
        <v>256</v>
      </c>
      <c r="F444" s="52" t="s">
        <v>1148</v>
      </c>
      <c r="G444" s="54"/>
      <c r="H444" s="54"/>
      <c r="I444" s="26" t="e">
        <f t="shared" si="15"/>
        <v>#DIV/0!</v>
      </c>
    </row>
    <row r="445" spans="1:9" ht="15" hidden="1">
      <c r="A445" s="291" t="s">
        <v>1047</v>
      </c>
      <c r="B445" s="23"/>
      <c r="C445" s="33" t="s">
        <v>1190</v>
      </c>
      <c r="D445" s="33" t="s">
        <v>1150</v>
      </c>
      <c r="E445" s="33" t="s">
        <v>1054</v>
      </c>
      <c r="F445" s="28"/>
      <c r="G445" s="54">
        <f>SUM(G446)</f>
        <v>0</v>
      </c>
      <c r="H445" s="54"/>
      <c r="I445" s="26"/>
    </row>
    <row r="446" spans="1:9" ht="15" hidden="1">
      <c r="A446" s="291" t="s">
        <v>1001</v>
      </c>
      <c r="B446" s="23"/>
      <c r="C446" s="33" t="s">
        <v>1190</v>
      </c>
      <c r="D446" s="33" t="s">
        <v>1150</v>
      </c>
      <c r="E446" s="33" t="s">
        <v>287</v>
      </c>
      <c r="F446" s="28" t="s">
        <v>1002</v>
      </c>
      <c r="G446" s="54"/>
      <c r="H446" s="54"/>
      <c r="I446" s="26"/>
    </row>
    <row r="447" spans="1:9" s="39" customFormat="1" ht="15">
      <c r="A447" s="312" t="s">
        <v>257</v>
      </c>
      <c r="B447" s="36"/>
      <c r="C447" s="37" t="s">
        <v>1190</v>
      </c>
      <c r="D447" s="37" t="s">
        <v>1190</v>
      </c>
      <c r="E447" s="37"/>
      <c r="F447" s="28"/>
      <c r="G447" s="26">
        <f>SUM(G448+G451+G467+G455)+G463</f>
        <v>20544.5</v>
      </c>
      <c r="H447" s="26">
        <f>SUM(H448+H451+H467+H455)+H463</f>
        <v>7261.6</v>
      </c>
      <c r="I447" s="26">
        <f t="shared" si="15"/>
        <v>35.34571296454039</v>
      </c>
    </row>
    <row r="448" spans="1:9" s="39" customFormat="1" ht="28.5" hidden="1">
      <c r="A448" s="291" t="s">
        <v>146</v>
      </c>
      <c r="B448" s="36"/>
      <c r="C448" s="37" t="s">
        <v>1190</v>
      </c>
      <c r="D448" s="37" t="s">
        <v>1190</v>
      </c>
      <c r="E448" s="37" t="s">
        <v>1071</v>
      </c>
      <c r="F448" s="28"/>
      <c r="G448" s="26">
        <f>SUM(G449+G452)</f>
        <v>0</v>
      </c>
      <c r="H448" s="26">
        <f>SUM(H449+H452)</f>
        <v>0</v>
      </c>
      <c r="I448" s="26" t="e">
        <f t="shared" si="15"/>
        <v>#DIV/0!</v>
      </c>
    </row>
    <row r="449" spans="1:9" s="39" customFormat="1" ht="28.5" hidden="1">
      <c r="A449" s="291" t="s">
        <v>99</v>
      </c>
      <c r="B449" s="36"/>
      <c r="C449" s="37" t="s">
        <v>1190</v>
      </c>
      <c r="D449" s="37" t="s">
        <v>1190</v>
      </c>
      <c r="E449" s="37" t="s">
        <v>197</v>
      </c>
      <c r="F449" s="28"/>
      <c r="G449" s="26">
        <f>SUM(G450)</f>
        <v>0</v>
      </c>
      <c r="H449" s="26">
        <f>SUM(H450)</f>
        <v>0</v>
      </c>
      <c r="I449" s="26" t="e">
        <f t="shared" si="15"/>
        <v>#DIV/0!</v>
      </c>
    </row>
    <row r="450" spans="1:9" s="39" customFormat="1" ht="15" hidden="1">
      <c r="A450" s="291" t="s">
        <v>261</v>
      </c>
      <c r="B450" s="36"/>
      <c r="C450" s="37" t="s">
        <v>1190</v>
      </c>
      <c r="D450" s="37" t="s">
        <v>1190</v>
      </c>
      <c r="E450" s="37" t="s">
        <v>197</v>
      </c>
      <c r="F450" s="28" t="s">
        <v>199</v>
      </c>
      <c r="G450" s="26"/>
      <c r="H450" s="26"/>
      <c r="I450" s="26" t="e">
        <f t="shared" si="15"/>
        <v>#DIV/0!</v>
      </c>
    </row>
    <row r="451" spans="1:9" s="39" customFormat="1" ht="15" hidden="1">
      <c r="A451" s="302" t="s">
        <v>262</v>
      </c>
      <c r="B451" s="36"/>
      <c r="C451" s="37" t="s">
        <v>1190</v>
      </c>
      <c r="D451" s="37" t="s">
        <v>1190</v>
      </c>
      <c r="E451" s="37" t="s">
        <v>263</v>
      </c>
      <c r="F451" s="28"/>
      <c r="G451" s="26"/>
      <c r="H451" s="26"/>
      <c r="I451" s="26" t="e">
        <f t="shared" si="15"/>
        <v>#DIV/0!</v>
      </c>
    </row>
    <row r="452" spans="1:9" s="39" customFormat="1" ht="15" hidden="1">
      <c r="A452" s="302" t="s">
        <v>1072</v>
      </c>
      <c r="B452" s="36"/>
      <c r="C452" s="37" t="s">
        <v>1190</v>
      </c>
      <c r="D452" s="37" t="s">
        <v>1190</v>
      </c>
      <c r="E452" s="37" t="s">
        <v>258</v>
      </c>
      <c r="F452" s="28"/>
      <c r="G452" s="26">
        <f>SUM(G454)</f>
        <v>0</v>
      </c>
      <c r="H452" s="26">
        <f>SUM(H454)</f>
        <v>0</v>
      </c>
      <c r="I452" s="26" t="e">
        <f t="shared" si="15"/>
        <v>#DIV/0!</v>
      </c>
    </row>
    <row r="453" spans="1:9" s="39" customFormat="1" ht="28.5" hidden="1">
      <c r="A453" s="302" t="s">
        <v>259</v>
      </c>
      <c r="B453" s="36"/>
      <c r="C453" s="37" t="s">
        <v>1190</v>
      </c>
      <c r="D453" s="37" t="s">
        <v>1190</v>
      </c>
      <c r="E453" s="37" t="s">
        <v>260</v>
      </c>
      <c r="F453" s="28"/>
      <c r="G453" s="26">
        <f>SUM(G454)</f>
        <v>0</v>
      </c>
      <c r="H453" s="26">
        <f>SUM(H454)</f>
        <v>0</v>
      </c>
      <c r="I453" s="26" t="e">
        <f t="shared" si="15"/>
        <v>#DIV/0!</v>
      </c>
    </row>
    <row r="454" spans="1:9" s="39" customFormat="1" ht="15" hidden="1">
      <c r="A454" s="291" t="s">
        <v>261</v>
      </c>
      <c r="B454" s="36"/>
      <c r="C454" s="37" t="s">
        <v>1190</v>
      </c>
      <c r="D454" s="37" t="s">
        <v>1190</v>
      </c>
      <c r="E454" s="37" t="s">
        <v>260</v>
      </c>
      <c r="F454" s="28" t="s">
        <v>199</v>
      </c>
      <c r="G454" s="54"/>
      <c r="H454" s="54"/>
      <c r="I454" s="26" t="e">
        <f t="shared" si="15"/>
        <v>#DIV/0!</v>
      </c>
    </row>
    <row r="455" spans="1:9" s="39" customFormat="1" ht="15" hidden="1">
      <c r="A455" s="302" t="s">
        <v>990</v>
      </c>
      <c r="B455" s="313"/>
      <c r="C455" s="37" t="s">
        <v>1190</v>
      </c>
      <c r="D455" s="37" t="s">
        <v>1190</v>
      </c>
      <c r="E455" s="314" t="s">
        <v>991</v>
      </c>
      <c r="F455" s="28"/>
      <c r="G455" s="54">
        <f>SUM(G456+G461)</f>
        <v>0</v>
      </c>
      <c r="H455" s="54">
        <f>SUM(H456+H461)</f>
        <v>4731.200000000001</v>
      </c>
      <c r="I455" s="26" t="e">
        <f t="shared" si="15"/>
        <v>#DIV/0!</v>
      </c>
    </row>
    <row r="456" spans="1:9" s="39" customFormat="1" ht="42" customHeight="1" hidden="1">
      <c r="A456" s="291" t="s">
        <v>1123</v>
      </c>
      <c r="B456" s="313"/>
      <c r="C456" s="37" t="s">
        <v>1190</v>
      </c>
      <c r="D456" s="37" t="s">
        <v>1190</v>
      </c>
      <c r="E456" s="314" t="s">
        <v>1124</v>
      </c>
      <c r="F456" s="28"/>
      <c r="G456" s="54">
        <f>SUM(G457+G459)</f>
        <v>0</v>
      </c>
      <c r="H456" s="54">
        <f>SUM(H457+H459)</f>
        <v>4731.200000000001</v>
      </c>
      <c r="I456" s="26" t="e">
        <f t="shared" si="15"/>
        <v>#DIV/0!</v>
      </c>
    </row>
    <row r="457" spans="1:9" s="39" customFormat="1" ht="15" hidden="1">
      <c r="A457" s="302" t="s">
        <v>445</v>
      </c>
      <c r="B457" s="36"/>
      <c r="C457" s="37" t="s">
        <v>1190</v>
      </c>
      <c r="D457" s="37" t="s">
        <v>1190</v>
      </c>
      <c r="E457" s="314" t="s">
        <v>446</v>
      </c>
      <c r="F457" s="28"/>
      <c r="G457" s="54">
        <f>SUM(G458,G466)</f>
        <v>0</v>
      </c>
      <c r="H457" s="54">
        <f>SUM(H458,H466)</f>
        <v>4731.200000000001</v>
      </c>
      <c r="I457" s="26" t="e">
        <f t="shared" si="15"/>
        <v>#DIV/0!</v>
      </c>
    </row>
    <row r="458" spans="1:9" s="39" customFormat="1" ht="15" hidden="1">
      <c r="A458" s="291" t="s">
        <v>261</v>
      </c>
      <c r="B458" s="36"/>
      <c r="C458" s="37" t="s">
        <v>1190</v>
      </c>
      <c r="D458" s="37" t="s">
        <v>1190</v>
      </c>
      <c r="E458" s="314" t="s">
        <v>446</v>
      </c>
      <c r="F458" s="28" t="s">
        <v>199</v>
      </c>
      <c r="G458" s="54"/>
      <c r="H458" s="54">
        <v>2740.8</v>
      </c>
      <c r="I458" s="26" t="e">
        <f t="shared" si="15"/>
        <v>#DIV/0!</v>
      </c>
    </row>
    <row r="459" spans="1:9" s="39" customFormat="1" ht="28.5" hidden="1">
      <c r="A459" s="291" t="s">
        <v>265</v>
      </c>
      <c r="B459" s="36"/>
      <c r="C459" s="37" t="s">
        <v>1190</v>
      </c>
      <c r="D459" s="37" t="s">
        <v>1190</v>
      </c>
      <c r="E459" s="314" t="s">
        <v>266</v>
      </c>
      <c r="F459" s="28"/>
      <c r="G459" s="54">
        <f>SUM(G460)</f>
        <v>0</v>
      </c>
      <c r="H459" s="54">
        <f>SUM(H460)</f>
        <v>0</v>
      </c>
      <c r="I459" s="26" t="e">
        <f t="shared" si="15"/>
        <v>#DIV/0!</v>
      </c>
    </row>
    <row r="460" spans="1:9" s="39" customFormat="1" ht="15" hidden="1">
      <c r="A460" s="291" t="s">
        <v>261</v>
      </c>
      <c r="B460" s="36"/>
      <c r="C460" s="37" t="s">
        <v>1190</v>
      </c>
      <c r="D460" s="37" t="s">
        <v>1190</v>
      </c>
      <c r="E460" s="314" t="s">
        <v>266</v>
      </c>
      <c r="F460" s="28" t="s">
        <v>199</v>
      </c>
      <c r="G460" s="54"/>
      <c r="H460" s="54"/>
      <c r="I460" s="26" t="e">
        <f t="shared" si="15"/>
        <v>#DIV/0!</v>
      </c>
    </row>
    <row r="461" spans="1:9" s="39" customFormat="1" ht="28.5" hidden="1">
      <c r="A461" s="291" t="s">
        <v>267</v>
      </c>
      <c r="B461" s="36"/>
      <c r="C461" s="37" t="s">
        <v>1190</v>
      </c>
      <c r="D461" s="37" t="s">
        <v>1190</v>
      </c>
      <c r="E461" s="314" t="s">
        <v>268</v>
      </c>
      <c r="F461" s="28"/>
      <c r="G461" s="54">
        <f>SUM(G462)</f>
        <v>0</v>
      </c>
      <c r="H461" s="54">
        <f>SUM(H462)</f>
        <v>0</v>
      </c>
      <c r="I461" s="26" t="e">
        <f t="shared" si="15"/>
        <v>#DIV/0!</v>
      </c>
    </row>
    <row r="462" spans="1:9" s="39" customFormat="1" ht="15" hidden="1">
      <c r="A462" s="291" t="s">
        <v>261</v>
      </c>
      <c r="B462" s="36"/>
      <c r="C462" s="37" t="s">
        <v>1190</v>
      </c>
      <c r="D462" s="37" t="s">
        <v>1190</v>
      </c>
      <c r="E462" s="314" t="s">
        <v>268</v>
      </c>
      <c r="F462" s="28" t="s">
        <v>199</v>
      </c>
      <c r="G462" s="54"/>
      <c r="H462" s="54"/>
      <c r="I462" s="26" t="e">
        <f t="shared" si="15"/>
        <v>#DIV/0!</v>
      </c>
    </row>
    <row r="463" spans="1:9" s="39" customFormat="1" ht="28.5" hidden="1">
      <c r="A463" s="291" t="s">
        <v>269</v>
      </c>
      <c r="B463" s="36"/>
      <c r="C463" s="37" t="s">
        <v>1190</v>
      </c>
      <c r="D463" s="37" t="s">
        <v>1190</v>
      </c>
      <c r="E463" s="314" t="s">
        <v>270</v>
      </c>
      <c r="F463" s="28"/>
      <c r="G463" s="54">
        <f>SUM(G464)</f>
        <v>0</v>
      </c>
      <c r="H463" s="54">
        <f>SUM(H464)</f>
        <v>0</v>
      </c>
      <c r="I463" s="26" t="e">
        <f t="shared" si="15"/>
        <v>#DIV/0!</v>
      </c>
    </row>
    <row r="464" spans="1:9" s="39" customFormat="1" ht="15" hidden="1">
      <c r="A464" s="291" t="s">
        <v>271</v>
      </c>
      <c r="B464" s="36"/>
      <c r="C464" s="37" t="s">
        <v>1190</v>
      </c>
      <c r="D464" s="37" t="s">
        <v>1190</v>
      </c>
      <c r="E464" s="314" t="s">
        <v>272</v>
      </c>
      <c r="F464" s="28"/>
      <c r="G464" s="54">
        <f>SUM(G465)</f>
        <v>0</v>
      </c>
      <c r="H464" s="54">
        <f>SUM(H465)</f>
        <v>0</v>
      </c>
      <c r="I464" s="26" t="e">
        <f t="shared" si="15"/>
        <v>#DIV/0!</v>
      </c>
    </row>
    <row r="465" spans="1:9" s="39" customFormat="1" ht="15" hidden="1">
      <c r="A465" s="291" t="s">
        <v>261</v>
      </c>
      <c r="B465" s="36"/>
      <c r="C465" s="37" t="s">
        <v>1190</v>
      </c>
      <c r="D465" s="37" t="s">
        <v>1190</v>
      </c>
      <c r="E465" s="314" t="s">
        <v>272</v>
      </c>
      <c r="F465" s="28" t="s">
        <v>199</v>
      </c>
      <c r="G465" s="54"/>
      <c r="H465" s="54"/>
      <c r="I465" s="26" t="e">
        <f t="shared" si="15"/>
        <v>#DIV/0!</v>
      </c>
    </row>
    <row r="466" spans="1:9" s="39" customFormat="1" ht="15" hidden="1">
      <c r="A466" s="291" t="s">
        <v>1147</v>
      </c>
      <c r="B466" s="36"/>
      <c r="C466" s="37" t="s">
        <v>1190</v>
      </c>
      <c r="D466" s="37" t="s">
        <v>1190</v>
      </c>
      <c r="E466" s="314" t="s">
        <v>446</v>
      </c>
      <c r="F466" s="28" t="s">
        <v>1148</v>
      </c>
      <c r="G466" s="54"/>
      <c r="H466" s="54">
        <v>1990.4</v>
      </c>
      <c r="I466" s="26" t="e">
        <f t="shared" si="15"/>
        <v>#DIV/0!</v>
      </c>
    </row>
    <row r="467" spans="1:9" s="39" customFormat="1" ht="20.25" customHeight="1">
      <c r="A467" s="291" t="s">
        <v>1186</v>
      </c>
      <c r="B467" s="36"/>
      <c r="C467" s="37" t="s">
        <v>1190</v>
      </c>
      <c r="D467" s="37" t="s">
        <v>1190</v>
      </c>
      <c r="E467" s="37" t="s">
        <v>1187</v>
      </c>
      <c r="F467" s="28"/>
      <c r="G467" s="26">
        <f>SUM(G468+G471+G477+G483+G474)</f>
        <v>20544.5</v>
      </c>
      <c r="H467" s="26">
        <f>SUM(H468+H471+H477+H483)</f>
        <v>2530.4</v>
      </c>
      <c r="I467" s="26">
        <f t="shared" si="15"/>
        <v>12.316678429750056</v>
      </c>
    </row>
    <row r="468" spans="1:9" s="39" customFormat="1" ht="19.5" customHeight="1">
      <c r="A468" s="295" t="s">
        <v>273</v>
      </c>
      <c r="B468" s="315"/>
      <c r="C468" s="81" t="s">
        <v>1190</v>
      </c>
      <c r="D468" s="81" t="s">
        <v>1190</v>
      </c>
      <c r="E468" s="81" t="s">
        <v>274</v>
      </c>
      <c r="F468" s="28"/>
      <c r="G468" s="75">
        <f>SUM(G469)</f>
        <v>2711</v>
      </c>
      <c r="H468" s="75">
        <v>492.1</v>
      </c>
      <c r="I468" s="26">
        <f t="shared" si="15"/>
        <v>18.15197344153449</v>
      </c>
    </row>
    <row r="469" spans="1:9" s="39" customFormat="1" ht="19.5" customHeight="1">
      <c r="A469" s="342" t="s">
        <v>198</v>
      </c>
      <c r="B469" s="315"/>
      <c r="C469" s="81" t="s">
        <v>1190</v>
      </c>
      <c r="D469" s="81" t="s">
        <v>1190</v>
      </c>
      <c r="E469" s="81" t="s">
        <v>274</v>
      </c>
      <c r="F469" s="28" t="s">
        <v>199</v>
      </c>
      <c r="G469" s="75">
        <v>2711</v>
      </c>
      <c r="H469" s="75"/>
      <c r="I469" s="26"/>
    </row>
    <row r="470" spans="1:9" s="39" customFormat="1" ht="42.75" hidden="1">
      <c r="A470" s="285" t="s">
        <v>1017</v>
      </c>
      <c r="B470" s="316"/>
      <c r="C470" s="81" t="s">
        <v>1190</v>
      </c>
      <c r="D470" s="81" t="s">
        <v>1190</v>
      </c>
      <c r="E470" s="314" t="s">
        <v>274</v>
      </c>
      <c r="F470" s="317" t="s">
        <v>496</v>
      </c>
      <c r="G470" s="26"/>
      <c r="H470" s="26">
        <f>SUM(H471)</f>
        <v>0</v>
      </c>
      <c r="I470" s="26" t="e">
        <f t="shared" si="15"/>
        <v>#DIV/0!</v>
      </c>
    </row>
    <row r="471" spans="1:9" s="39" customFormat="1" ht="28.5">
      <c r="A471" s="343" t="s">
        <v>1011</v>
      </c>
      <c r="B471" s="316"/>
      <c r="C471" s="81" t="s">
        <v>1190</v>
      </c>
      <c r="D471" s="81" t="s">
        <v>1190</v>
      </c>
      <c r="E471" s="314" t="s">
        <v>1010</v>
      </c>
      <c r="F471" s="28"/>
      <c r="G471" s="54">
        <f>SUM(G472)</f>
        <v>5370</v>
      </c>
      <c r="H471" s="54"/>
      <c r="I471" s="26">
        <f t="shared" si="15"/>
        <v>0</v>
      </c>
    </row>
    <row r="472" spans="1:9" s="82" customFormat="1" ht="21.75" customHeight="1">
      <c r="A472" s="342" t="s">
        <v>198</v>
      </c>
      <c r="B472" s="77"/>
      <c r="C472" s="51" t="s">
        <v>1190</v>
      </c>
      <c r="D472" s="51" t="s">
        <v>1190</v>
      </c>
      <c r="E472" s="51" t="s">
        <v>1010</v>
      </c>
      <c r="F472" s="25" t="s">
        <v>199</v>
      </c>
      <c r="G472" s="26">
        <v>5370</v>
      </c>
      <c r="H472" s="26"/>
      <c r="I472" s="26"/>
    </row>
    <row r="473" spans="1:9" s="39" customFormat="1" ht="42.75" hidden="1">
      <c r="A473" s="285" t="s">
        <v>1017</v>
      </c>
      <c r="B473" s="36"/>
      <c r="C473" s="37" t="s">
        <v>1190</v>
      </c>
      <c r="D473" s="37" t="s">
        <v>1190</v>
      </c>
      <c r="E473" s="37" t="s">
        <v>1010</v>
      </c>
      <c r="F473" s="28" t="s">
        <v>496</v>
      </c>
      <c r="G473" s="26"/>
      <c r="H473" s="26">
        <f>SUM(H468)</f>
        <v>492.1</v>
      </c>
      <c r="I473" s="26" t="e">
        <f>SUM(H473/G473*100)</f>
        <v>#DIV/0!</v>
      </c>
    </row>
    <row r="474" spans="1:9" s="39" customFormat="1" ht="52.5" customHeight="1">
      <c r="A474" s="343" t="s">
        <v>1013</v>
      </c>
      <c r="B474" s="316"/>
      <c r="C474" s="81" t="s">
        <v>1190</v>
      </c>
      <c r="D474" s="81" t="s">
        <v>1190</v>
      </c>
      <c r="E474" s="314" t="s">
        <v>1012</v>
      </c>
      <c r="F474" s="28"/>
      <c r="G474" s="54">
        <f>SUM(G475)</f>
        <v>530</v>
      </c>
      <c r="H474" s="54"/>
      <c r="I474" s="26">
        <f>SUM(H474/G474*100)</f>
        <v>0</v>
      </c>
    </row>
    <row r="475" spans="1:9" s="82" customFormat="1" ht="24" customHeight="1">
      <c r="A475" s="342" t="s">
        <v>198</v>
      </c>
      <c r="B475" s="77"/>
      <c r="C475" s="51" t="s">
        <v>1190</v>
      </c>
      <c r="D475" s="51" t="s">
        <v>1190</v>
      </c>
      <c r="E475" s="51" t="s">
        <v>1012</v>
      </c>
      <c r="F475" s="25" t="s">
        <v>199</v>
      </c>
      <c r="G475" s="26">
        <v>530</v>
      </c>
      <c r="H475" s="26"/>
      <c r="I475" s="26"/>
    </row>
    <row r="476" spans="1:9" s="39" customFormat="1" ht="42.75" hidden="1">
      <c r="A476" s="285" t="s">
        <v>1017</v>
      </c>
      <c r="B476" s="36"/>
      <c r="C476" s="37" t="s">
        <v>1190</v>
      </c>
      <c r="D476" s="37" t="s">
        <v>1190</v>
      </c>
      <c r="E476" s="37" t="s">
        <v>1012</v>
      </c>
      <c r="F476" s="28" t="s">
        <v>496</v>
      </c>
      <c r="G476" s="26"/>
      <c r="H476" s="26">
        <f>SUM(H471)</f>
        <v>0</v>
      </c>
      <c r="I476" s="26" t="e">
        <f>SUM(H476/G476*100)</f>
        <v>#DIV/0!</v>
      </c>
    </row>
    <row r="477" spans="1:9" s="39" customFormat="1" ht="28.5">
      <c r="A477" s="291" t="s">
        <v>1110</v>
      </c>
      <c r="B477" s="36"/>
      <c r="C477" s="37" t="s">
        <v>1190</v>
      </c>
      <c r="D477" s="37" t="s">
        <v>1190</v>
      </c>
      <c r="E477" s="37" t="s">
        <v>454</v>
      </c>
      <c r="F477" s="28"/>
      <c r="G477" s="26">
        <f>SUM(G478+G481)</f>
        <v>8953.5</v>
      </c>
      <c r="H477" s="26">
        <f>SUM(H478+H481)</f>
        <v>2038.3</v>
      </c>
      <c r="I477" s="26">
        <f t="shared" si="15"/>
        <v>22.76539900597532</v>
      </c>
    </row>
    <row r="478" spans="1:9" s="39" customFormat="1" ht="15">
      <c r="A478" s="295" t="s">
        <v>445</v>
      </c>
      <c r="B478" s="315"/>
      <c r="C478" s="37" t="s">
        <v>1190</v>
      </c>
      <c r="D478" s="37" t="s">
        <v>1190</v>
      </c>
      <c r="E478" s="37" t="s">
        <v>455</v>
      </c>
      <c r="F478" s="28"/>
      <c r="G478" s="75">
        <f>SUM(G479)</f>
        <v>6283.5</v>
      </c>
      <c r="H478" s="75">
        <f>SUM(H479:H480)</f>
        <v>1157.5</v>
      </c>
      <c r="I478" s="26">
        <f t="shared" si="15"/>
        <v>18.421262035489775</v>
      </c>
    </row>
    <row r="479" spans="1:9" s="39" customFormat="1" ht="15">
      <c r="A479" s="342" t="s">
        <v>198</v>
      </c>
      <c r="B479" s="36"/>
      <c r="C479" s="37" t="s">
        <v>1190</v>
      </c>
      <c r="D479" s="37" t="s">
        <v>1190</v>
      </c>
      <c r="E479" s="37" t="s">
        <v>455</v>
      </c>
      <c r="F479" s="28" t="s">
        <v>199</v>
      </c>
      <c r="G479" s="54">
        <v>6283.5</v>
      </c>
      <c r="H479" s="54">
        <v>1157.5</v>
      </c>
      <c r="I479" s="26">
        <f t="shared" si="15"/>
        <v>18.421262035489775</v>
      </c>
    </row>
    <row r="480" spans="1:9" ht="15" hidden="1">
      <c r="A480" s="285" t="s">
        <v>1147</v>
      </c>
      <c r="B480" s="77"/>
      <c r="C480" s="37" t="s">
        <v>1190</v>
      </c>
      <c r="D480" s="37" t="s">
        <v>1190</v>
      </c>
      <c r="E480" s="24" t="s">
        <v>455</v>
      </c>
      <c r="F480" s="52" t="s">
        <v>1148</v>
      </c>
      <c r="G480" s="26"/>
      <c r="H480" s="26"/>
      <c r="I480" s="26" t="e">
        <f t="shared" si="15"/>
        <v>#DIV/0!</v>
      </c>
    </row>
    <row r="481" spans="1:9" ht="28.5">
      <c r="A481" s="342" t="s">
        <v>265</v>
      </c>
      <c r="B481" s="23"/>
      <c r="C481" s="37" t="s">
        <v>1190</v>
      </c>
      <c r="D481" s="37" t="s">
        <v>1190</v>
      </c>
      <c r="E481" s="24" t="s">
        <v>1085</v>
      </c>
      <c r="F481" s="29"/>
      <c r="G481" s="26">
        <f>SUM(G482)</f>
        <v>2670</v>
      </c>
      <c r="H481" s="26">
        <f>SUM(H482)</f>
        <v>880.8</v>
      </c>
      <c r="I481" s="26">
        <f t="shared" si="15"/>
        <v>32.98876404494382</v>
      </c>
    </row>
    <row r="482" spans="1:9" ht="15">
      <c r="A482" s="342" t="s">
        <v>198</v>
      </c>
      <c r="B482" s="23"/>
      <c r="C482" s="37" t="s">
        <v>1190</v>
      </c>
      <c r="D482" s="37" t="s">
        <v>1190</v>
      </c>
      <c r="E482" s="24" t="s">
        <v>1085</v>
      </c>
      <c r="F482" s="28" t="s">
        <v>199</v>
      </c>
      <c r="G482" s="54">
        <v>2670</v>
      </c>
      <c r="H482" s="54">
        <v>880.8</v>
      </c>
      <c r="I482" s="26">
        <f t="shared" si="15"/>
        <v>32.98876404494382</v>
      </c>
    </row>
    <row r="483" spans="1:9" ht="28.5">
      <c r="A483" s="285" t="s">
        <v>836</v>
      </c>
      <c r="B483" s="23"/>
      <c r="C483" s="37" t="s">
        <v>1190</v>
      </c>
      <c r="D483" s="37" t="s">
        <v>1190</v>
      </c>
      <c r="E483" s="51" t="s">
        <v>469</v>
      </c>
      <c r="F483" s="28"/>
      <c r="G483" s="54">
        <f>SUM(G484)</f>
        <v>2980</v>
      </c>
      <c r="H483" s="54">
        <f>SUM(H484)</f>
        <v>0</v>
      </c>
      <c r="I483" s="26">
        <f t="shared" si="15"/>
        <v>0</v>
      </c>
    </row>
    <row r="484" spans="1:9" ht="15">
      <c r="A484" s="342" t="s">
        <v>198</v>
      </c>
      <c r="B484" s="23"/>
      <c r="C484" s="37" t="s">
        <v>1190</v>
      </c>
      <c r="D484" s="37" t="s">
        <v>1190</v>
      </c>
      <c r="E484" s="51" t="s">
        <v>469</v>
      </c>
      <c r="F484" s="28" t="s">
        <v>199</v>
      </c>
      <c r="G484" s="54">
        <v>2980</v>
      </c>
      <c r="H484" s="54"/>
      <c r="I484" s="26">
        <f t="shared" si="15"/>
        <v>0</v>
      </c>
    </row>
    <row r="485" spans="1:9" ht="26.25" customHeight="1">
      <c r="A485" s="285" t="s">
        <v>276</v>
      </c>
      <c r="B485" s="23"/>
      <c r="C485" s="24" t="s">
        <v>642</v>
      </c>
      <c r="D485" s="24"/>
      <c r="E485" s="24"/>
      <c r="F485" s="25"/>
      <c r="G485" s="26">
        <f>SUM(G486)+G490</f>
        <v>10982.2</v>
      </c>
      <c r="H485" s="26">
        <f>SUM(H486)+H490</f>
        <v>2547</v>
      </c>
      <c r="I485" s="26">
        <f t="shared" si="15"/>
        <v>23.19207444774271</v>
      </c>
    </row>
    <row r="486" spans="1:9" ht="31.5" customHeight="1">
      <c r="A486" s="285" t="s">
        <v>277</v>
      </c>
      <c r="B486" s="23"/>
      <c r="C486" s="24" t="s">
        <v>642</v>
      </c>
      <c r="D486" s="24" t="s">
        <v>1150</v>
      </c>
      <c r="E486" s="24"/>
      <c r="F486" s="25"/>
      <c r="G486" s="26">
        <f>SUM(G489)</f>
        <v>4682.2</v>
      </c>
      <c r="H486" s="26">
        <f>SUM(H489)</f>
        <v>2199.7</v>
      </c>
      <c r="I486" s="26">
        <f t="shared" si="15"/>
        <v>46.980052112254924</v>
      </c>
    </row>
    <row r="487" spans="1:9" ht="15.75" customHeight="1">
      <c r="A487" s="285" t="s">
        <v>278</v>
      </c>
      <c r="B487" s="23"/>
      <c r="C487" s="24" t="s">
        <v>642</v>
      </c>
      <c r="D487" s="24" t="s">
        <v>1150</v>
      </c>
      <c r="E487" s="24" t="s">
        <v>279</v>
      </c>
      <c r="F487" s="25"/>
      <c r="G487" s="26">
        <f>SUM(G488)</f>
        <v>4682.2</v>
      </c>
      <c r="H487" s="26">
        <f>SUM(H488)</f>
        <v>2199.7</v>
      </c>
      <c r="I487" s="26">
        <f t="shared" si="15"/>
        <v>46.980052112254924</v>
      </c>
    </row>
    <row r="488" spans="1:9" ht="28.5">
      <c r="A488" s="285" t="s">
        <v>493</v>
      </c>
      <c r="B488" s="83"/>
      <c r="C488" s="57" t="s">
        <v>642</v>
      </c>
      <c r="D488" s="57" t="s">
        <v>1150</v>
      </c>
      <c r="E488" s="57" t="s">
        <v>280</v>
      </c>
      <c r="F488" s="29"/>
      <c r="G488" s="26">
        <f>SUM(G489)</f>
        <v>4682.2</v>
      </c>
      <c r="H488" s="26">
        <f>SUM(H489)</f>
        <v>2199.7</v>
      </c>
      <c r="I488" s="26">
        <f t="shared" si="15"/>
        <v>46.980052112254924</v>
      </c>
    </row>
    <row r="489" spans="1:9" ht="21.75" customHeight="1">
      <c r="A489" s="297" t="s">
        <v>494</v>
      </c>
      <c r="B489" s="23"/>
      <c r="C489" s="24" t="s">
        <v>642</v>
      </c>
      <c r="D489" s="24" t="s">
        <v>1150</v>
      </c>
      <c r="E489" s="57" t="s">
        <v>280</v>
      </c>
      <c r="F489" s="29" t="s">
        <v>142</v>
      </c>
      <c r="G489" s="26">
        <v>4682.2</v>
      </c>
      <c r="H489" s="26">
        <v>2199.7</v>
      </c>
      <c r="I489" s="26">
        <f t="shared" si="15"/>
        <v>46.980052112254924</v>
      </c>
    </row>
    <row r="490" spans="1:9" ht="27.75" customHeight="1">
      <c r="A490" s="299" t="s">
        <v>281</v>
      </c>
      <c r="B490" s="23"/>
      <c r="C490" s="84" t="s">
        <v>642</v>
      </c>
      <c r="D490" s="84" t="s">
        <v>1190</v>
      </c>
      <c r="E490" s="84"/>
      <c r="F490" s="49"/>
      <c r="G490" s="54">
        <f>SUM(G491+G494)</f>
        <v>6300</v>
      </c>
      <c r="H490" s="54">
        <f>SUM(H491+H494)</f>
        <v>347.3</v>
      </c>
      <c r="I490" s="26">
        <f t="shared" si="15"/>
        <v>5.512698412698413</v>
      </c>
    </row>
    <row r="491" spans="1:9" ht="19.5" customHeight="1" hidden="1">
      <c r="A491" s="287" t="s">
        <v>990</v>
      </c>
      <c r="B491" s="23"/>
      <c r="C491" s="84" t="s">
        <v>642</v>
      </c>
      <c r="D491" s="84" t="s">
        <v>1190</v>
      </c>
      <c r="E491" s="24" t="s">
        <v>991</v>
      </c>
      <c r="F491" s="49"/>
      <c r="G491" s="54">
        <f>SUM(G492)</f>
        <v>0</v>
      </c>
      <c r="H491" s="54">
        <f>SUM(H492)</f>
        <v>0</v>
      </c>
      <c r="I491" s="26" t="e">
        <f t="shared" si="15"/>
        <v>#DIV/0!</v>
      </c>
    </row>
    <row r="492" spans="1:9" ht="42.75" customHeight="1" hidden="1">
      <c r="A492" s="287" t="s">
        <v>282</v>
      </c>
      <c r="B492" s="23"/>
      <c r="C492" s="84" t="s">
        <v>642</v>
      </c>
      <c r="D492" s="84" t="s">
        <v>1190</v>
      </c>
      <c r="E492" s="24" t="s">
        <v>283</v>
      </c>
      <c r="F492" s="29"/>
      <c r="G492" s="54">
        <f>SUM(G493)</f>
        <v>0</v>
      </c>
      <c r="H492" s="54">
        <f>SUM(H493)</f>
        <v>0</v>
      </c>
      <c r="I492" s="26" t="e">
        <f t="shared" si="15"/>
        <v>#DIV/0!</v>
      </c>
    </row>
    <row r="493" spans="1:9" ht="21" customHeight="1" hidden="1">
      <c r="A493" s="291" t="s">
        <v>261</v>
      </c>
      <c r="B493" s="23"/>
      <c r="C493" s="84" t="s">
        <v>642</v>
      </c>
      <c r="D493" s="84" t="s">
        <v>1190</v>
      </c>
      <c r="E493" s="24" t="s">
        <v>283</v>
      </c>
      <c r="F493" s="29" t="s">
        <v>199</v>
      </c>
      <c r="G493" s="54"/>
      <c r="H493" s="54"/>
      <c r="I493" s="26" t="e">
        <f t="shared" si="15"/>
        <v>#DIV/0!</v>
      </c>
    </row>
    <row r="494" spans="1:9" ht="20.25" customHeight="1">
      <c r="A494" s="285" t="s">
        <v>1186</v>
      </c>
      <c r="B494" s="23"/>
      <c r="C494" s="84" t="s">
        <v>642</v>
      </c>
      <c r="D494" s="84" t="s">
        <v>1190</v>
      </c>
      <c r="E494" s="24" t="s">
        <v>1187</v>
      </c>
      <c r="F494" s="49"/>
      <c r="G494" s="54">
        <f>SUM(G498+G502)</f>
        <v>6300</v>
      </c>
      <c r="H494" s="54">
        <f>SUM(H498+H502)</f>
        <v>347.3</v>
      </c>
      <c r="I494" s="26">
        <f t="shared" si="15"/>
        <v>5.512698412698413</v>
      </c>
    </row>
    <row r="495" spans="1:9" ht="24" customHeight="1" hidden="1">
      <c r="A495" s="287" t="s">
        <v>284</v>
      </c>
      <c r="B495" s="23"/>
      <c r="C495" s="84" t="s">
        <v>642</v>
      </c>
      <c r="D495" s="84" t="s">
        <v>1190</v>
      </c>
      <c r="E495" s="24" t="s">
        <v>1187</v>
      </c>
      <c r="F495" s="49" t="s">
        <v>285</v>
      </c>
      <c r="G495" s="54"/>
      <c r="H495" s="54"/>
      <c r="I495" s="26" t="e">
        <f t="shared" si="15"/>
        <v>#DIV/0!</v>
      </c>
    </row>
    <row r="496" spans="1:9" ht="22.5" customHeight="1" hidden="1">
      <c r="A496" s="300" t="s">
        <v>286</v>
      </c>
      <c r="B496" s="23"/>
      <c r="C496" s="84" t="s">
        <v>642</v>
      </c>
      <c r="D496" s="84" t="s">
        <v>1190</v>
      </c>
      <c r="E496" s="86" t="s">
        <v>1187</v>
      </c>
      <c r="F496" s="87" t="s">
        <v>285</v>
      </c>
      <c r="G496" s="88"/>
      <c r="H496" s="88"/>
      <c r="I496" s="26" t="e">
        <f t="shared" si="15"/>
        <v>#DIV/0!</v>
      </c>
    </row>
    <row r="497" spans="1:9" ht="0.75" customHeight="1" hidden="1">
      <c r="A497" s="297" t="s">
        <v>141</v>
      </c>
      <c r="B497" s="23"/>
      <c r="C497" s="84" t="s">
        <v>642</v>
      </c>
      <c r="D497" s="84" t="s">
        <v>1190</v>
      </c>
      <c r="E497" s="84" t="s">
        <v>1187</v>
      </c>
      <c r="F497" s="49" t="s">
        <v>142</v>
      </c>
      <c r="G497" s="54"/>
      <c r="H497" s="54"/>
      <c r="I497" s="26" t="e">
        <f t="shared" si="15"/>
        <v>#DIV/0!</v>
      </c>
    </row>
    <row r="498" spans="1:9" ht="27.75" customHeight="1">
      <c r="A498" s="299" t="s">
        <v>1047</v>
      </c>
      <c r="B498" s="23"/>
      <c r="C498" s="84" t="s">
        <v>642</v>
      </c>
      <c r="D498" s="84" t="s">
        <v>1190</v>
      </c>
      <c r="E498" s="84" t="s">
        <v>287</v>
      </c>
      <c r="F498" s="49"/>
      <c r="G498" s="54">
        <f>SUM(G499:G501)</f>
        <v>6300</v>
      </c>
      <c r="H498" s="54">
        <f>SUM(H499:H501)</f>
        <v>347.3</v>
      </c>
      <c r="I498" s="26">
        <f t="shared" si="15"/>
        <v>5.512698412698413</v>
      </c>
    </row>
    <row r="499" spans="1:9" ht="15">
      <c r="A499" s="342" t="s">
        <v>198</v>
      </c>
      <c r="B499" s="23"/>
      <c r="C499" s="84" t="s">
        <v>642</v>
      </c>
      <c r="D499" s="84" t="s">
        <v>1190</v>
      </c>
      <c r="E499" s="84" t="s">
        <v>287</v>
      </c>
      <c r="F499" s="29" t="s">
        <v>199</v>
      </c>
      <c r="G499" s="54">
        <v>4200</v>
      </c>
      <c r="H499" s="54"/>
      <c r="I499" s="26">
        <f t="shared" si="15"/>
        <v>0</v>
      </c>
    </row>
    <row r="500" spans="1:9" ht="15" hidden="1">
      <c r="A500" s="291" t="s">
        <v>1001</v>
      </c>
      <c r="B500" s="23"/>
      <c r="C500" s="33" t="s">
        <v>642</v>
      </c>
      <c r="D500" s="33" t="s">
        <v>1190</v>
      </c>
      <c r="E500" s="33" t="s">
        <v>1054</v>
      </c>
      <c r="F500" s="28" t="s">
        <v>1002</v>
      </c>
      <c r="G500" s="54">
        <f>1300-1300</f>
        <v>0</v>
      </c>
      <c r="H500" s="54"/>
      <c r="I500" s="26"/>
    </row>
    <row r="501" spans="1:9" ht="15">
      <c r="A501" s="297" t="s">
        <v>288</v>
      </c>
      <c r="B501" s="23"/>
      <c r="C501" s="84" t="s">
        <v>642</v>
      </c>
      <c r="D501" s="84" t="s">
        <v>1190</v>
      </c>
      <c r="E501" s="84" t="s">
        <v>287</v>
      </c>
      <c r="F501" s="49" t="s">
        <v>289</v>
      </c>
      <c r="G501" s="54">
        <f>2100</f>
        <v>2100</v>
      </c>
      <c r="H501" s="54">
        <v>347.3</v>
      </c>
      <c r="I501" s="26">
        <f aca="true" t="shared" si="16" ref="I501:I564">SUM(H501/G501*100)</f>
        <v>16.538095238095238</v>
      </c>
    </row>
    <row r="502" spans="1:9" ht="26.25" customHeight="1" hidden="1">
      <c r="A502" s="299" t="s">
        <v>290</v>
      </c>
      <c r="B502" s="23"/>
      <c r="C502" s="84" t="s">
        <v>642</v>
      </c>
      <c r="D502" s="84" t="s">
        <v>1190</v>
      </c>
      <c r="E502" s="84" t="s">
        <v>291</v>
      </c>
      <c r="F502" s="49"/>
      <c r="G502" s="54">
        <f>SUM(G503:G504)</f>
        <v>0</v>
      </c>
      <c r="H502" s="54">
        <f>SUM(H503:H504)</f>
        <v>0</v>
      </c>
      <c r="I502" s="26" t="e">
        <f t="shared" si="16"/>
        <v>#DIV/0!</v>
      </c>
    </row>
    <row r="503" spans="1:9" ht="15.75" customHeight="1" hidden="1">
      <c r="A503" s="291" t="s">
        <v>261</v>
      </c>
      <c r="B503" s="23"/>
      <c r="C503" s="84" t="s">
        <v>642</v>
      </c>
      <c r="D503" s="84" t="s">
        <v>1190</v>
      </c>
      <c r="E503" s="84" t="s">
        <v>291</v>
      </c>
      <c r="F503" s="29" t="s">
        <v>199</v>
      </c>
      <c r="G503" s="54"/>
      <c r="H503" s="54"/>
      <c r="I503" s="26" t="e">
        <f t="shared" si="16"/>
        <v>#DIV/0!</v>
      </c>
    </row>
    <row r="504" spans="1:9" ht="18" customHeight="1" hidden="1">
      <c r="A504" s="297" t="s">
        <v>288</v>
      </c>
      <c r="B504" s="23"/>
      <c r="C504" s="84" t="s">
        <v>642</v>
      </c>
      <c r="D504" s="84" t="s">
        <v>1190</v>
      </c>
      <c r="E504" s="84" t="s">
        <v>291</v>
      </c>
      <c r="F504" s="49" t="s">
        <v>292</v>
      </c>
      <c r="G504" s="54"/>
      <c r="H504" s="54"/>
      <c r="I504" s="26" t="e">
        <f t="shared" si="16"/>
        <v>#DIV/0!</v>
      </c>
    </row>
    <row r="505" spans="1:9" ht="14.25" customHeight="1">
      <c r="A505" s="285" t="s">
        <v>1162</v>
      </c>
      <c r="B505" s="30"/>
      <c r="C505" s="84" t="s">
        <v>1163</v>
      </c>
      <c r="D505" s="84"/>
      <c r="E505" s="84"/>
      <c r="F505" s="49"/>
      <c r="G505" s="54">
        <f>SUM(G506)</f>
        <v>17200</v>
      </c>
      <c r="H505" s="54" t="e">
        <f>SUM(H506+#REF!+#REF!+#REF!)</f>
        <v>#REF!</v>
      </c>
      <c r="I505" s="26" t="e">
        <f t="shared" si="16"/>
        <v>#REF!</v>
      </c>
    </row>
    <row r="506" spans="1:9" ht="15.75">
      <c r="A506" s="285" t="s">
        <v>547</v>
      </c>
      <c r="B506" s="96"/>
      <c r="C506" s="33" t="s">
        <v>1163</v>
      </c>
      <c r="D506" s="33" t="s">
        <v>1140</v>
      </c>
      <c r="E506" s="33"/>
      <c r="F506" s="103"/>
      <c r="G506" s="26">
        <f>SUM(G510)+G507</f>
        <v>17200</v>
      </c>
      <c r="H506" s="26">
        <f>SUM(H510)</f>
        <v>0</v>
      </c>
      <c r="I506" s="26">
        <f t="shared" si="16"/>
        <v>0</v>
      </c>
    </row>
    <row r="507" spans="1:9" s="97" customFormat="1" ht="15.75" customHeight="1">
      <c r="A507" s="285" t="s">
        <v>990</v>
      </c>
      <c r="B507" s="56"/>
      <c r="C507" s="57" t="s">
        <v>1163</v>
      </c>
      <c r="D507" s="57" t="s">
        <v>1140</v>
      </c>
      <c r="E507" s="37" t="s">
        <v>991</v>
      </c>
      <c r="F507" s="29"/>
      <c r="G507" s="26">
        <f>SUM(G508)</f>
        <v>14200</v>
      </c>
      <c r="H507" s="26">
        <f>SUM(H508)</f>
        <v>9549.8</v>
      </c>
      <c r="I507" s="26">
        <f>SUM(H507/G507*100)</f>
        <v>67.25211267605633</v>
      </c>
    </row>
    <row r="508" spans="1:9" s="97" customFormat="1" ht="57" customHeight="1">
      <c r="A508" s="285" t="s">
        <v>220</v>
      </c>
      <c r="B508" s="56"/>
      <c r="C508" s="57" t="s">
        <v>1163</v>
      </c>
      <c r="D508" s="57" t="s">
        <v>1140</v>
      </c>
      <c r="E508" s="37" t="s">
        <v>564</v>
      </c>
      <c r="F508" s="29"/>
      <c r="G508" s="26">
        <f>SUM(G509)</f>
        <v>14200</v>
      </c>
      <c r="H508" s="26">
        <f>SUM(H509)</f>
        <v>9549.8</v>
      </c>
      <c r="I508" s="26">
        <f>SUM(H508/G508*100)</f>
        <v>67.25211267605633</v>
      </c>
    </row>
    <row r="509" spans="1:9" ht="18.75" customHeight="1">
      <c r="A509" s="342" t="s">
        <v>198</v>
      </c>
      <c r="B509" s="56"/>
      <c r="C509" s="57" t="s">
        <v>1163</v>
      </c>
      <c r="D509" s="57" t="s">
        <v>1140</v>
      </c>
      <c r="E509" s="37" t="s">
        <v>564</v>
      </c>
      <c r="F509" s="29" t="s">
        <v>199</v>
      </c>
      <c r="G509" s="26">
        <v>14200</v>
      </c>
      <c r="H509" s="26">
        <v>9549.8</v>
      </c>
      <c r="I509" s="26">
        <f>SUM(H509/G509*100)</f>
        <v>67.25211267605633</v>
      </c>
    </row>
    <row r="510" spans="1:9" ht="15.75">
      <c r="A510" s="285" t="s">
        <v>1186</v>
      </c>
      <c r="B510" s="96"/>
      <c r="C510" s="33" t="s">
        <v>1163</v>
      </c>
      <c r="D510" s="33" t="s">
        <v>1140</v>
      </c>
      <c r="E510" s="33" t="s">
        <v>1187</v>
      </c>
      <c r="F510" s="103"/>
      <c r="G510" s="26">
        <f>SUM(G511)</f>
        <v>3000</v>
      </c>
      <c r="H510" s="26">
        <f>SUM(H511)</f>
        <v>0</v>
      </c>
      <c r="I510" s="26">
        <f t="shared" si="16"/>
        <v>0</v>
      </c>
    </row>
    <row r="511" spans="1:9" ht="28.5">
      <c r="A511" s="285" t="s">
        <v>497</v>
      </c>
      <c r="B511" s="96"/>
      <c r="C511" s="33" t="s">
        <v>1163</v>
      </c>
      <c r="D511" s="33" t="s">
        <v>1140</v>
      </c>
      <c r="E511" s="33" t="s">
        <v>498</v>
      </c>
      <c r="F511" s="103"/>
      <c r="G511" s="26">
        <f>SUM(G512)</f>
        <v>3000</v>
      </c>
      <c r="H511" s="26">
        <f>SUM(H512)</f>
        <v>0</v>
      </c>
      <c r="I511" s="26">
        <f t="shared" si="16"/>
        <v>0</v>
      </c>
    </row>
    <row r="512" spans="1:9" ht="15.75">
      <c r="A512" s="342" t="s">
        <v>198</v>
      </c>
      <c r="B512" s="56"/>
      <c r="C512" s="166" t="s">
        <v>1163</v>
      </c>
      <c r="D512" s="166" t="s">
        <v>1140</v>
      </c>
      <c r="E512" s="33" t="s">
        <v>498</v>
      </c>
      <c r="F512" s="167" t="s">
        <v>199</v>
      </c>
      <c r="G512" s="26">
        <f>3000</f>
        <v>3000</v>
      </c>
      <c r="H512" s="26"/>
      <c r="I512" s="26">
        <f t="shared" si="16"/>
        <v>0</v>
      </c>
    </row>
    <row r="513" spans="1:9" s="39" customFormat="1" ht="14.25" customHeight="1" hidden="1">
      <c r="A513" s="285" t="s">
        <v>529</v>
      </c>
      <c r="B513" s="23"/>
      <c r="C513" s="24" t="s">
        <v>971</v>
      </c>
      <c r="D513" s="24"/>
      <c r="E513" s="24"/>
      <c r="F513" s="25"/>
      <c r="G513" s="26">
        <f>SUM(G514+G537+G528+G524+G520)</f>
        <v>0</v>
      </c>
      <c r="H513" s="26">
        <f>SUM(H514+H537+H528+H524+H520)</f>
        <v>5636.900000000001</v>
      </c>
      <c r="I513" s="26" t="e">
        <f t="shared" si="16"/>
        <v>#DIV/0!</v>
      </c>
    </row>
    <row r="514" spans="1:9" s="39" customFormat="1" ht="14.25" customHeight="1" hidden="1">
      <c r="A514" s="285" t="s">
        <v>365</v>
      </c>
      <c r="B514" s="23"/>
      <c r="C514" s="37" t="s">
        <v>971</v>
      </c>
      <c r="D514" s="37" t="s">
        <v>1140</v>
      </c>
      <c r="E514" s="37"/>
      <c r="F514" s="28"/>
      <c r="G514" s="26">
        <f>SUM(G517)+G515</f>
        <v>0</v>
      </c>
      <c r="H514" s="26">
        <f>SUM(H517)+H515</f>
        <v>3221.3</v>
      </c>
      <c r="I514" s="26" t="e">
        <f t="shared" si="16"/>
        <v>#DIV/0!</v>
      </c>
    </row>
    <row r="515" spans="1:9" s="2" customFormat="1" ht="16.5" customHeight="1" hidden="1">
      <c r="A515" s="285" t="s">
        <v>638</v>
      </c>
      <c r="B515" s="23"/>
      <c r="C515" s="37" t="s">
        <v>971</v>
      </c>
      <c r="D515" s="37" t="s">
        <v>1140</v>
      </c>
      <c r="E515" s="37" t="s">
        <v>639</v>
      </c>
      <c r="F515" s="28"/>
      <c r="G515" s="26">
        <f>SUM(G516)</f>
        <v>0</v>
      </c>
      <c r="H515" s="26">
        <f>SUM(H516)</f>
        <v>0</v>
      </c>
      <c r="I515" s="26" t="e">
        <f t="shared" si="16"/>
        <v>#DIV/0!</v>
      </c>
    </row>
    <row r="516" spans="1:9" s="2" customFormat="1" ht="16.5" customHeight="1" hidden="1">
      <c r="A516" s="297" t="s">
        <v>141</v>
      </c>
      <c r="B516" s="23"/>
      <c r="C516" s="37" t="s">
        <v>971</v>
      </c>
      <c r="D516" s="37" t="s">
        <v>1140</v>
      </c>
      <c r="E516" s="37" t="s">
        <v>639</v>
      </c>
      <c r="F516" s="28" t="s">
        <v>142</v>
      </c>
      <c r="G516" s="26"/>
      <c r="H516" s="26"/>
      <c r="I516" s="26" t="e">
        <f t="shared" si="16"/>
        <v>#DIV/0!</v>
      </c>
    </row>
    <row r="517" spans="1:9" s="2" customFormat="1" ht="15" hidden="1">
      <c r="A517" s="285" t="s">
        <v>719</v>
      </c>
      <c r="B517" s="23"/>
      <c r="C517" s="37" t="s">
        <v>971</v>
      </c>
      <c r="D517" s="37" t="s">
        <v>1140</v>
      </c>
      <c r="E517" s="37" t="s">
        <v>370</v>
      </c>
      <c r="F517" s="28"/>
      <c r="G517" s="26">
        <f>SUM(G518)</f>
        <v>0</v>
      </c>
      <c r="H517" s="26">
        <f>SUM(H518)</f>
        <v>3221.3</v>
      </c>
      <c r="I517" s="26" t="e">
        <f t="shared" si="16"/>
        <v>#DIV/0!</v>
      </c>
    </row>
    <row r="518" spans="1:9" s="2" customFormat="1" ht="26.25" customHeight="1" hidden="1">
      <c r="A518" s="285" t="s">
        <v>139</v>
      </c>
      <c r="B518" s="23"/>
      <c r="C518" s="37" t="s">
        <v>971</v>
      </c>
      <c r="D518" s="37" t="s">
        <v>1140</v>
      </c>
      <c r="E518" s="37" t="s">
        <v>371</v>
      </c>
      <c r="F518" s="28"/>
      <c r="G518" s="26">
        <f>SUM(G519)</f>
        <v>0</v>
      </c>
      <c r="H518" s="26">
        <f>SUM(H519)</f>
        <v>3221.3</v>
      </c>
      <c r="I518" s="26" t="e">
        <f t="shared" si="16"/>
        <v>#DIV/0!</v>
      </c>
    </row>
    <row r="519" spans="1:9" s="2" customFormat="1" ht="14.25" customHeight="1" hidden="1">
      <c r="A519" s="297" t="s">
        <v>141</v>
      </c>
      <c r="B519" s="83"/>
      <c r="C519" s="57" t="s">
        <v>971</v>
      </c>
      <c r="D519" s="57" t="s">
        <v>1140</v>
      </c>
      <c r="E519" s="57" t="s">
        <v>371</v>
      </c>
      <c r="F519" s="29" t="s">
        <v>142</v>
      </c>
      <c r="G519" s="26"/>
      <c r="H519" s="26">
        <v>3221.3</v>
      </c>
      <c r="I519" s="26" t="e">
        <f t="shared" si="16"/>
        <v>#DIV/0!</v>
      </c>
    </row>
    <row r="520" spans="1:9" s="2" customFormat="1" ht="15" hidden="1">
      <c r="A520" s="285" t="s">
        <v>119</v>
      </c>
      <c r="B520" s="23"/>
      <c r="C520" s="37" t="s">
        <v>971</v>
      </c>
      <c r="D520" s="37" t="s">
        <v>1142</v>
      </c>
      <c r="E520" s="37"/>
      <c r="F520" s="28"/>
      <c r="G520" s="26">
        <f>SUM(G521)</f>
        <v>0</v>
      </c>
      <c r="H520" s="26">
        <f>SUM(H521)</f>
        <v>23.80000000000001</v>
      </c>
      <c r="I520" s="26" t="e">
        <f t="shared" si="16"/>
        <v>#DIV/0!</v>
      </c>
    </row>
    <row r="521" spans="1:9" s="2" customFormat="1" ht="15" hidden="1">
      <c r="A521" s="285" t="s">
        <v>369</v>
      </c>
      <c r="B521" s="23"/>
      <c r="C521" s="37" t="s">
        <v>971</v>
      </c>
      <c r="D521" s="37" t="s">
        <v>1142</v>
      </c>
      <c r="E521" s="37" t="s">
        <v>370</v>
      </c>
      <c r="F521" s="28"/>
      <c r="G521" s="26">
        <f>SUM(G522)</f>
        <v>0</v>
      </c>
      <c r="H521" s="26">
        <f>SUM(H522)</f>
        <v>23.80000000000001</v>
      </c>
      <c r="I521" s="26" t="e">
        <f t="shared" si="16"/>
        <v>#DIV/0!</v>
      </c>
    </row>
    <row r="522" spans="1:9" s="2" customFormat="1" ht="15" hidden="1">
      <c r="A522" s="285" t="s">
        <v>139</v>
      </c>
      <c r="B522" s="23"/>
      <c r="C522" s="37" t="s">
        <v>971</v>
      </c>
      <c r="D522" s="37" t="s">
        <v>1142</v>
      </c>
      <c r="E522" s="37" t="s">
        <v>371</v>
      </c>
      <c r="F522" s="28"/>
      <c r="G522" s="26">
        <f>SUM(G523:G526)</f>
        <v>0</v>
      </c>
      <c r="H522" s="26">
        <f>SUM(H523:H526)</f>
        <v>23.80000000000001</v>
      </c>
      <c r="I522" s="26" t="e">
        <f t="shared" si="16"/>
        <v>#DIV/0!</v>
      </c>
    </row>
    <row r="523" spans="1:9" s="2" customFormat="1" ht="15" hidden="1">
      <c r="A523" s="297" t="s">
        <v>141</v>
      </c>
      <c r="B523" s="23"/>
      <c r="C523" s="37" t="s">
        <v>971</v>
      </c>
      <c r="D523" s="37" t="s">
        <v>1142</v>
      </c>
      <c r="E523" s="37" t="s">
        <v>371</v>
      </c>
      <c r="F523" s="28" t="s">
        <v>142</v>
      </c>
      <c r="G523" s="26"/>
      <c r="H523" s="26">
        <f>500-476.2</f>
        <v>23.80000000000001</v>
      </c>
      <c r="I523" s="26" t="e">
        <f t="shared" si="16"/>
        <v>#DIV/0!</v>
      </c>
    </row>
    <row r="524" spans="1:9" s="2" customFormat="1" ht="21" customHeight="1" hidden="1">
      <c r="A524" s="297" t="s">
        <v>130</v>
      </c>
      <c r="B524" s="23"/>
      <c r="C524" s="37" t="s">
        <v>971</v>
      </c>
      <c r="D524" s="37" t="s">
        <v>1174</v>
      </c>
      <c r="E524" s="37"/>
      <c r="F524" s="28"/>
      <c r="G524" s="26">
        <f aca="true" t="shared" si="17" ref="G524:H526">SUM(G525)</f>
        <v>0</v>
      </c>
      <c r="H524" s="26">
        <f t="shared" si="17"/>
        <v>0</v>
      </c>
      <c r="I524" s="26" t="e">
        <f t="shared" si="16"/>
        <v>#DIV/0!</v>
      </c>
    </row>
    <row r="525" spans="1:9" s="2" customFormat="1" ht="15" hidden="1">
      <c r="A525" s="297" t="s">
        <v>131</v>
      </c>
      <c r="B525" s="83"/>
      <c r="C525" s="37" t="s">
        <v>971</v>
      </c>
      <c r="D525" s="37" t="s">
        <v>1174</v>
      </c>
      <c r="E525" s="57" t="s">
        <v>132</v>
      </c>
      <c r="F525" s="29"/>
      <c r="G525" s="26">
        <f t="shared" si="17"/>
        <v>0</v>
      </c>
      <c r="H525" s="26">
        <f t="shared" si="17"/>
        <v>0</v>
      </c>
      <c r="I525" s="26" t="e">
        <f t="shared" si="16"/>
        <v>#DIV/0!</v>
      </c>
    </row>
    <row r="526" spans="1:9" s="39" customFormat="1" ht="15.75" customHeight="1" hidden="1">
      <c r="A526" s="297" t="s">
        <v>139</v>
      </c>
      <c r="B526" s="83"/>
      <c r="C526" s="37" t="s">
        <v>971</v>
      </c>
      <c r="D526" s="37" t="s">
        <v>1174</v>
      </c>
      <c r="E526" s="57" t="s">
        <v>133</v>
      </c>
      <c r="F526" s="29"/>
      <c r="G526" s="26">
        <f t="shared" si="17"/>
        <v>0</v>
      </c>
      <c r="H526" s="26">
        <f t="shared" si="17"/>
        <v>0</v>
      </c>
      <c r="I526" s="26" t="e">
        <f t="shared" si="16"/>
        <v>#DIV/0!</v>
      </c>
    </row>
    <row r="527" spans="1:9" s="39" customFormat="1" ht="18.75" customHeight="1" hidden="1">
      <c r="A527" s="297" t="s">
        <v>141</v>
      </c>
      <c r="B527" s="83"/>
      <c r="C527" s="37" t="s">
        <v>971</v>
      </c>
      <c r="D527" s="37" t="s">
        <v>1174</v>
      </c>
      <c r="E527" s="57" t="s">
        <v>133</v>
      </c>
      <c r="F527" s="29" t="s">
        <v>142</v>
      </c>
      <c r="G527" s="26"/>
      <c r="H527" s="26"/>
      <c r="I527" s="26" t="e">
        <f t="shared" si="16"/>
        <v>#DIV/0!</v>
      </c>
    </row>
    <row r="528" spans="1:9" s="39" customFormat="1" ht="15" hidden="1">
      <c r="A528" s="285" t="s">
        <v>134</v>
      </c>
      <c r="B528" s="23"/>
      <c r="C528" s="24" t="s">
        <v>971</v>
      </c>
      <c r="D528" s="24" t="s">
        <v>1176</v>
      </c>
      <c r="E528" s="24"/>
      <c r="F528" s="25"/>
      <c r="G528" s="26">
        <f>SUM(G531+G534+G529)</f>
        <v>0</v>
      </c>
      <c r="H528" s="26">
        <f>SUM(H531+H534+H529)</f>
        <v>1344.5</v>
      </c>
      <c r="I528" s="26" t="e">
        <f t="shared" si="16"/>
        <v>#DIV/0!</v>
      </c>
    </row>
    <row r="529" spans="1:9" ht="15" hidden="1">
      <c r="A529" s="297" t="s">
        <v>638</v>
      </c>
      <c r="B529" s="23"/>
      <c r="C529" s="24" t="s">
        <v>971</v>
      </c>
      <c r="D529" s="24" t="s">
        <v>1176</v>
      </c>
      <c r="E529" s="37" t="s">
        <v>639</v>
      </c>
      <c r="F529" s="28"/>
      <c r="G529" s="26">
        <f>SUM(G530)</f>
        <v>0</v>
      </c>
      <c r="H529" s="26">
        <f>SUM(H530)</f>
        <v>79.5</v>
      </c>
      <c r="I529" s="26"/>
    </row>
    <row r="530" spans="1:9" ht="15" hidden="1">
      <c r="A530" s="285" t="s">
        <v>1147</v>
      </c>
      <c r="B530" s="23"/>
      <c r="C530" s="24" t="s">
        <v>971</v>
      </c>
      <c r="D530" s="24" t="s">
        <v>1176</v>
      </c>
      <c r="E530" s="37" t="s">
        <v>639</v>
      </c>
      <c r="F530" s="28" t="s">
        <v>1148</v>
      </c>
      <c r="G530" s="26"/>
      <c r="H530" s="26">
        <v>79.5</v>
      </c>
      <c r="I530" s="26"/>
    </row>
    <row r="531" spans="1:9" s="39" customFormat="1" ht="15" hidden="1">
      <c r="A531" s="285" t="s">
        <v>104</v>
      </c>
      <c r="B531" s="23"/>
      <c r="C531" s="24" t="s">
        <v>971</v>
      </c>
      <c r="D531" s="24" t="s">
        <v>1176</v>
      </c>
      <c r="E531" s="46" t="s">
        <v>63</v>
      </c>
      <c r="F531" s="25"/>
      <c r="G531" s="26">
        <f>SUM(G532)</f>
        <v>0</v>
      </c>
      <c r="H531" s="26">
        <f>SUM(H532)</f>
        <v>1265</v>
      </c>
      <c r="I531" s="26" t="e">
        <f t="shared" si="16"/>
        <v>#DIV/0!</v>
      </c>
    </row>
    <row r="532" spans="1:9" s="39" customFormat="1" ht="28.5" hidden="1">
      <c r="A532" s="285" t="s">
        <v>574</v>
      </c>
      <c r="B532" s="23"/>
      <c r="C532" s="24" t="s">
        <v>971</v>
      </c>
      <c r="D532" s="24" t="s">
        <v>1176</v>
      </c>
      <c r="E532" s="46" t="s">
        <v>64</v>
      </c>
      <c r="F532" s="25"/>
      <c r="G532" s="26">
        <f>SUM(G533)</f>
        <v>0</v>
      </c>
      <c r="H532" s="26">
        <f>SUM(H533)</f>
        <v>1265</v>
      </c>
      <c r="I532" s="26" t="e">
        <f t="shared" si="16"/>
        <v>#DIV/0!</v>
      </c>
    </row>
    <row r="533" spans="1:9" s="39" customFormat="1" ht="27.75" customHeight="1" hidden="1">
      <c r="A533" s="285" t="s">
        <v>1147</v>
      </c>
      <c r="B533" s="23"/>
      <c r="C533" s="24" t="s">
        <v>971</v>
      </c>
      <c r="D533" s="24" t="s">
        <v>1176</v>
      </c>
      <c r="E533" s="46" t="s">
        <v>64</v>
      </c>
      <c r="F533" s="25" t="s">
        <v>1148</v>
      </c>
      <c r="G533" s="26"/>
      <c r="H533" s="26">
        <v>1265</v>
      </c>
      <c r="I533" s="26" t="e">
        <f t="shared" si="16"/>
        <v>#DIV/0!</v>
      </c>
    </row>
    <row r="534" spans="1:9" s="39" customFormat="1" ht="17.25" customHeight="1" hidden="1">
      <c r="A534" s="297" t="s">
        <v>1186</v>
      </c>
      <c r="B534" s="36"/>
      <c r="C534" s="24" t="s">
        <v>971</v>
      </c>
      <c r="D534" s="24" t="s">
        <v>1176</v>
      </c>
      <c r="E534" s="37" t="s">
        <v>1187</v>
      </c>
      <c r="F534" s="28"/>
      <c r="G534" s="26">
        <f>SUM(G535)</f>
        <v>0</v>
      </c>
      <c r="H534" s="26">
        <f>SUM(H535)</f>
        <v>0</v>
      </c>
      <c r="I534" s="26" t="e">
        <f t="shared" si="16"/>
        <v>#DIV/0!</v>
      </c>
    </row>
    <row r="535" spans="1:9" s="39" customFormat="1" ht="28.5" hidden="1">
      <c r="A535" s="285" t="s">
        <v>574</v>
      </c>
      <c r="B535" s="83"/>
      <c r="C535" s="24" t="s">
        <v>971</v>
      </c>
      <c r="D535" s="24" t="s">
        <v>1176</v>
      </c>
      <c r="E535" s="57" t="s">
        <v>1187</v>
      </c>
      <c r="F535" s="29" t="s">
        <v>924</v>
      </c>
      <c r="G535" s="26">
        <f>SUM(G536)</f>
        <v>0</v>
      </c>
      <c r="H535" s="26">
        <f>SUM(H536)</f>
        <v>0</v>
      </c>
      <c r="I535" s="26" t="e">
        <f t="shared" si="16"/>
        <v>#DIV/0!</v>
      </c>
    </row>
    <row r="536" spans="1:9" s="39" customFormat="1" ht="0.75" customHeight="1" hidden="1">
      <c r="A536" s="285" t="s">
        <v>105</v>
      </c>
      <c r="B536" s="23"/>
      <c r="C536" s="24" t="s">
        <v>971</v>
      </c>
      <c r="D536" s="24" t="s">
        <v>1176</v>
      </c>
      <c r="E536" s="57" t="s">
        <v>106</v>
      </c>
      <c r="F536" s="29" t="s">
        <v>924</v>
      </c>
      <c r="G536" s="26">
        <f>1738.6-1738.6</f>
        <v>0</v>
      </c>
      <c r="H536" s="26">
        <f>1738.6-1738.6</f>
        <v>0</v>
      </c>
      <c r="I536" s="26" t="e">
        <f t="shared" si="16"/>
        <v>#DIV/0!</v>
      </c>
    </row>
    <row r="537" spans="1:9" s="39" customFormat="1" ht="15" hidden="1">
      <c r="A537" s="285" t="s">
        <v>115</v>
      </c>
      <c r="B537" s="23"/>
      <c r="C537" s="37" t="s">
        <v>971</v>
      </c>
      <c r="D537" s="37" t="s">
        <v>971</v>
      </c>
      <c r="E537" s="37"/>
      <c r="F537" s="28"/>
      <c r="G537" s="26">
        <f>SUM(G541+G538)</f>
        <v>0</v>
      </c>
      <c r="H537" s="26">
        <f>SUM(H541+H538)</f>
        <v>1047.3</v>
      </c>
      <c r="I537" s="26" t="e">
        <f t="shared" si="16"/>
        <v>#DIV/0!</v>
      </c>
    </row>
    <row r="538" spans="1:9" s="97" customFormat="1" ht="28.5" hidden="1">
      <c r="A538" s="291" t="s">
        <v>146</v>
      </c>
      <c r="B538" s="36"/>
      <c r="C538" s="37" t="s">
        <v>971</v>
      </c>
      <c r="D538" s="37" t="s">
        <v>971</v>
      </c>
      <c r="E538" s="37" t="s">
        <v>1071</v>
      </c>
      <c r="F538" s="28"/>
      <c r="G538" s="26">
        <f>SUM(G539)</f>
        <v>0</v>
      </c>
      <c r="H538" s="26">
        <f>SUM(H539)</f>
        <v>0</v>
      </c>
      <c r="I538" s="26" t="e">
        <f t="shared" si="16"/>
        <v>#DIV/0!</v>
      </c>
    </row>
    <row r="539" spans="1:9" ht="28.5" hidden="1">
      <c r="A539" s="291" t="s">
        <v>99</v>
      </c>
      <c r="B539" s="36"/>
      <c r="C539" s="37" t="s">
        <v>971</v>
      </c>
      <c r="D539" s="37" t="s">
        <v>971</v>
      </c>
      <c r="E539" s="37" t="s">
        <v>197</v>
      </c>
      <c r="F539" s="28"/>
      <c r="G539" s="26">
        <f>SUM(G540)</f>
        <v>0</v>
      </c>
      <c r="H539" s="26">
        <f>SUM(H540)</f>
        <v>0</v>
      </c>
      <c r="I539" s="26" t="e">
        <f t="shared" si="16"/>
        <v>#DIV/0!</v>
      </c>
    </row>
    <row r="540" spans="1:9" ht="15" hidden="1">
      <c r="A540" s="291" t="s">
        <v>261</v>
      </c>
      <c r="B540" s="36"/>
      <c r="C540" s="37" t="s">
        <v>971</v>
      </c>
      <c r="D540" s="37" t="s">
        <v>971</v>
      </c>
      <c r="E540" s="37" t="s">
        <v>197</v>
      </c>
      <c r="F540" s="28" t="s">
        <v>199</v>
      </c>
      <c r="G540" s="26"/>
      <c r="H540" s="26"/>
      <c r="I540" s="26" t="e">
        <f t="shared" si="16"/>
        <v>#DIV/0!</v>
      </c>
    </row>
    <row r="541" spans="1:9" ht="15" hidden="1">
      <c r="A541" s="297" t="s">
        <v>1186</v>
      </c>
      <c r="B541" s="36"/>
      <c r="C541" s="37" t="s">
        <v>971</v>
      </c>
      <c r="D541" s="37" t="s">
        <v>971</v>
      </c>
      <c r="E541" s="37" t="s">
        <v>1187</v>
      </c>
      <c r="F541" s="28"/>
      <c r="G541" s="26">
        <f>SUM(G544)+G548+G550+G542</f>
        <v>0</v>
      </c>
      <c r="H541" s="26">
        <f>SUM(H544)+H548+H550</f>
        <v>1047.3</v>
      </c>
      <c r="I541" s="26" t="e">
        <f t="shared" si="16"/>
        <v>#DIV/0!</v>
      </c>
    </row>
    <row r="542" spans="1:9" ht="42.75" hidden="1">
      <c r="A542" s="299" t="s">
        <v>964</v>
      </c>
      <c r="B542" s="36"/>
      <c r="C542" s="37" t="s">
        <v>971</v>
      </c>
      <c r="D542" s="37" t="s">
        <v>971</v>
      </c>
      <c r="E542" s="37" t="s">
        <v>965</v>
      </c>
      <c r="F542" s="28"/>
      <c r="G542" s="26">
        <f>SUM(G543)</f>
        <v>0</v>
      </c>
      <c r="H542" s="26"/>
      <c r="I542" s="26"/>
    </row>
    <row r="543" spans="1:9" ht="15" hidden="1">
      <c r="A543" s="285" t="s">
        <v>1001</v>
      </c>
      <c r="B543" s="36"/>
      <c r="C543" s="37" t="s">
        <v>971</v>
      </c>
      <c r="D543" s="37" t="s">
        <v>971</v>
      </c>
      <c r="E543" s="37" t="s">
        <v>965</v>
      </c>
      <c r="F543" s="28" t="s">
        <v>1002</v>
      </c>
      <c r="G543" s="26"/>
      <c r="H543" s="26"/>
      <c r="I543" s="26"/>
    </row>
    <row r="544" spans="1:9" ht="28.5" hidden="1">
      <c r="A544" s="285" t="s">
        <v>109</v>
      </c>
      <c r="B544" s="36"/>
      <c r="C544" s="37" t="s">
        <v>971</v>
      </c>
      <c r="D544" s="37" t="s">
        <v>971</v>
      </c>
      <c r="E544" s="37" t="s">
        <v>110</v>
      </c>
      <c r="F544" s="28"/>
      <c r="G544" s="26">
        <f>SUM(G545:G547)</f>
        <v>0</v>
      </c>
      <c r="H544" s="26">
        <f>SUM(H545:H547)</f>
        <v>5</v>
      </c>
      <c r="I544" s="26" t="e">
        <f t="shared" si="16"/>
        <v>#DIV/0!</v>
      </c>
    </row>
    <row r="545" spans="1:9" ht="0.75" customHeight="1" hidden="1">
      <c r="A545" s="291" t="s">
        <v>261</v>
      </c>
      <c r="B545" s="23"/>
      <c r="C545" s="37" t="s">
        <v>971</v>
      </c>
      <c r="D545" s="37" t="s">
        <v>971</v>
      </c>
      <c r="E545" s="37" t="s">
        <v>110</v>
      </c>
      <c r="F545" s="28" t="s">
        <v>199</v>
      </c>
      <c r="G545" s="26"/>
      <c r="H545" s="26"/>
      <c r="I545" s="26" t="e">
        <f t="shared" si="16"/>
        <v>#DIV/0!</v>
      </c>
    </row>
    <row r="546" spans="1:9" ht="15" hidden="1">
      <c r="A546" s="285" t="s">
        <v>1147</v>
      </c>
      <c r="B546" s="83"/>
      <c r="C546" s="57" t="s">
        <v>971</v>
      </c>
      <c r="D546" s="57" t="s">
        <v>971</v>
      </c>
      <c r="E546" s="37" t="s">
        <v>110</v>
      </c>
      <c r="F546" s="29" t="s">
        <v>1148</v>
      </c>
      <c r="G546" s="26"/>
      <c r="H546" s="26"/>
      <c r="I546" s="26" t="e">
        <f t="shared" si="16"/>
        <v>#DIV/0!</v>
      </c>
    </row>
    <row r="547" spans="1:9" s="31" customFormat="1" ht="33" customHeight="1" hidden="1">
      <c r="A547" s="285" t="s">
        <v>574</v>
      </c>
      <c r="B547" s="23"/>
      <c r="C547" s="37" t="s">
        <v>971</v>
      </c>
      <c r="D547" s="37" t="s">
        <v>971</v>
      </c>
      <c r="E547" s="37" t="s">
        <v>110</v>
      </c>
      <c r="F547" s="103" t="s">
        <v>924</v>
      </c>
      <c r="G547" s="54"/>
      <c r="H547" s="54">
        <v>5</v>
      </c>
      <c r="I547" s="26" t="e">
        <f t="shared" si="16"/>
        <v>#DIV/0!</v>
      </c>
    </row>
    <row r="548" spans="1:9" ht="28.5" hidden="1">
      <c r="A548" s="342" t="s">
        <v>607</v>
      </c>
      <c r="B548" s="23"/>
      <c r="C548" s="37" t="s">
        <v>971</v>
      </c>
      <c r="D548" s="37" t="s">
        <v>971</v>
      </c>
      <c r="E548" s="37" t="s">
        <v>608</v>
      </c>
      <c r="F548" s="103"/>
      <c r="G548" s="54">
        <f>SUM(G549)</f>
        <v>0</v>
      </c>
      <c r="H548" s="54">
        <f>SUM(H549)</f>
        <v>0</v>
      </c>
      <c r="I548" s="26" t="e">
        <f t="shared" si="16"/>
        <v>#DIV/0!</v>
      </c>
    </row>
    <row r="549" spans="1:9" ht="28.5" hidden="1">
      <c r="A549" s="285" t="s">
        <v>574</v>
      </c>
      <c r="B549" s="23"/>
      <c r="C549" s="37" t="s">
        <v>971</v>
      </c>
      <c r="D549" s="37" t="s">
        <v>971</v>
      </c>
      <c r="E549" s="37" t="s">
        <v>608</v>
      </c>
      <c r="F549" s="103" t="s">
        <v>924</v>
      </c>
      <c r="G549" s="54"/>
      <c r="H549" s="54"/>
      <c r="I549" s="26" t="e">
        <f t="shared" si="16"/>
        <v>#DIV/0!</v>
      </c>
    </row>
    <row r="550" spans="1:9" ht="29.25" customHeight="1" hidden="1">
      <c r="A550" s="285" t="s">
        <v>703</v>
      </c>
      <c r="B550" s="23"/>
      <c r="C550" s="37" t="s">
        <v>372</v>
      </c>
      <c r="D550" s="37" t="s">
        <v>372</v>
      </c>
      <c r="E550" s="37" t="s">
        <v>469</v>
      </c>
      <c r="F550" s="103"/>
      <c r="G550" s="54">
        <f>SUM(G551)</f>
        <v>0</v>
      </c>
      <c r="H550" s="54">
        <f>SUM(H551)</f>
        <v>1042.3</v>
      </c>
      <c r="I550" s="26" t="e">
        <f t="shared" si="16"/>
        <v>#DIV/0!</v>
      </c>
    </row>
    <row r="551" spans="1:9" ht="16.5" customHeight="1" hidden="1">
      <c r="A551" s="291" t="s">
        <v>261</v>
      </c>
      <c r="B551" s="23"/>
      <c r="C551" s="37" t="s">
        <v>971</v>
      </c>
      <c r="D551" s="37" t="s">
        <v>971</v>
      </c>
      <c r="E551" s="37" t="s">
        <v>469</v>
      </c>
      <c r="F551" s="103" t="s">
        <v>199</v>
      </c>
      <c r="G551" s="54"/>
      <c r="H551" s="54">
        <v>1042.3</v>
      </c>
      <c r="I551" s="26" t="e">
        <f t="shared" si="16"/>
        <v>#DIV/0!</v>
      </c>
    </row>
    <row r="552" spans="1:9" ht="18" customHeight="1" hidden="1">
      <c r="A552" s="285" t="s">
        <v>704</v>
      </c>
      <c r="B552" s="23"/>
      <c r="C552" s="24" t="s">
        <v>998</v>
      </c>
      <c r="D552" s="24"/>
      <c r="E552" s="24"/>
      <c r="F552" s="25"/>
      <c r="G552" s="26">
        <f>SUM(G556)</f>
        <v>0</v>
      </c>
      <c r="H552" s="26">
        <f>SUM(H556)</f>
        <v>8564.300000000001</v>
      </c>
      <c r="I552" s="26" t="e">
        <f t="shared" si="16"/>
        <v>#DIV/0!</v>
      </c>
    </row>
    <row r="553" spans="1:9" ht="15" hidden="1">
      <c r="A553" s="285" t="s">
        <v>711</v>
      </c>
      <c r="B553" s="23"/>
      <c r="C553" s="24" t="s">
        <v>998</v>
      </c>
      <c r="D553" s="24" t="s">
        <v>1142</v>
      </c>
      <c r="E553" s="24"/>
      <c r="F553" s="25"/>
      <c r="G553" s="26">
        <f>SUM(G554)</f>
        <v>0</v>
      </c>
      <c r="H553" s="26">
        <f>SUM(H554)</f>
        <v>0</v>
      </c>
      <c r="I553" s="26" t="e">
        <f t="shared" si="16"/>
        <v>#DIV/0!</v>
      </c>
    </row>
    <row r="554" spans="1:9" ht="19.5" customHeight="1" hidden="1">
      <c r="A554" s="285" t="s">
        <v>306</v>
      </c>
      <c r="B554" s="23"/>
      <c r="C554" s="24" t="s">
        <v>998</v>
      </c>
      <c r="D554" s="24" t="s">
        <v>1142</v>
      </c>
      <c r="E554" s="24" t="s">
        <v>720</v>
      </c>
      <c r="F554" s="25"/>
      <c r="G554" s="26">
        <f>SUM(G555)</f>
        <v>0</v>
      </c>
      <c r="H554" s="26">
        <f>SUM(H555)</f>
        <v>0</v>
      </c>
      <c r="I554" s="26" t="e">
        <f t="shared" si="16"/>
        <v>#DIV/0!</v>
      </c>
    </row>
    <row r="555" spans="1:9" ht="15" hidden="1">
      <c r="A555" s="285" t="s">
        <v>139</v>
      </c>
      <c r="B555" s="23"/>
      <c r="C555" s="24" t="s">
        <v>998</v>
      </c>
      <c r="D555" s="24" t="s">
        <v>1142</v>
      </c>
      <c r="E555" s="24" t="s">
        <v>720</v>
      </c>
      <c r="F555" s="25" t="s">
        <v>721</v>
      </c>
      <c r="G555" s="26"/>
      <c r="H555" s="26"/>
      <c r="I555" s="26" t="e">
        <f t="shared" si="16"/>
        <v>#DIV/0!</v>
      </c>
    </row>
    <row r="556" spans="1:9" ht="15" hidden="1">
      <c r="A556" s="287" t="s">
        <v>1027</v>
      </c>
      <c r="B556" s="23"/>
      <c r="C556" s="24" t="s">
        <v>998</v>
      </c>
      <c r="D556" s="37" t="s">
        <v>1150</v>
      </c>
      <c r="E556" s="24"/>
      <c r="F556" s="25"/>
      <c r="G556" s="26">
        <f>SUM(G557+G560+G569+G578+G576)</f>
        <v>0</v>
      </c>
      <c r="H556" s="26">
        <f>SUM(H557+H560+H569+H578+H576)</f>
        <v>8564.300000000001</v>
      </c>
      <c r="I556" s="26" t="e">
        <f t="shared" si="16"/>
        <v>#DIV/0!</v>
      </c>
    </row>
    <row r="557" spans="1:9" ht="31.5" customHeight="1" hidden="1">
      <c r="A557" s="287" t="s">
        <v>722</v>
      </c>
      <c r="B557" s="23"/>
      <c r="C557" s="24" t="s">
        <v>998</v>
      </c>
      <c r="D557" s="37" t="s">
        <v>1150</v>
      </c>
      <c r="E557" s="24" t="s">
        <v>263</v>
      </c>
      <c r="F557" s="25"/>
      <c r="G557" s="26">
        <f>SUM(G558)</f>
        <v>0</v>
      </c>
      <c r="H557" s="26">
        <f>SUM(H558)</f>
        <v>0</v>
      </c>
      <c r="I557" s="26" t="e">
        <f t="shared" si="16"/>
        <v>#DIV/0!</v>
      </c>
    </row>
    <row r="558" spans="1:9" ht="28.5" customHeight="1" hidden="1">
      <c r="A558" s="287" t="s">
        <v>723</v>
      </c>
      <c r="B558" s="23"/>
      <c r="C558" s="24" t="s">
        <v>998</v>
      </c>
      <c r="D558" s="37" t="s">
        <v>1150</v>
      </c>
      <c r="E558" s="24" t="s">
        <v>724</v>
      </c>
      <c r="F558" s="25"/>
      <c r="G558" s="26">
        <f>SUM(G559)</f>
        <v>0</v>
      </c>
      <c r="H558" s="26">
        <f>SUM(H559)</f>
        <v>0</v>
      </c>
      <c r="I558" s="26" t="e">
        <f t="shared" si="16"/>
        <v>#DIV/0!</v>
      </c>
    </row>
    <row r="559" spans="1:9" ht="23.25" customHeight="1" hidden="1">
      <c r="A559" s="287" t="s">
        <v>147</v>
      </c>
      <c r="B559" s="23"/>
      <c r="C559" s="24" t="s">
        <v>998</v>
      </c>
      <c r="D559" s="37" t="s">
        <v>1150</v>
      </c>
      <c r="E559" s="24" t="s">
        <v>724</v>
      </c>
      <c r="F559" s="25" t="s">
        <v>149</v>
      </c>
      <c r="G559" s="26"/>
      <c r="H559" s="26"/>
      <c r="I559" s="26" t="e">
        <f t="shared" si="16"/>
        <v>#DIV/0!</v>
      </c>
    </row>
    <row r="560" spans="1:9" s="39" customFormat="1" ht="21.75" customHeight="1" hidden="1">
      <c r="A560" s="285" t="s">
        <v>1028</v>
      </c>
      <c r="B560" s="23"/>
      <c r="C560" s="24" t="s">
        <v>998</v>
      </c>
      <c r="D560" s="37" t="s">
        <v>1150</v>
      </c>
      <c r="E560" s="24" t="s">
        <v>1029</v>
      </c>
      <c r="F560" s="25"/>
      <c r="G560" s="26">
        <f>SUM(G564+G567+G561)</f>
        <v>0</v>
      </c>
      <c r="H560" s="26">
        <f>SUM(H564+H567+H561)</f>
        <v>5628.5</v>
      </c>
      <c r="I560" s="26" t="e">
        <f t="shared" si="16"/>
        <v>#DIV/0!</v>
      </c>
    </row>
    <row r="561" spans="1:9" s="39" customFormat="1" ht="18.75" customHeight="1" hidden="1">
      <c r="A561" s="287" t="s">
        <v>695</v>
      </c>
      <c r="B561" s="23"/>
      <c r="C561" s="24" t="s">
        <v>998</v>
      </c>
      <c r="D561" s="24" t="s">
        <v>1150</v>
      </c>
      <c r="E561" s="24" t="s">
        <v>725</v>
      </c>
      <c r="F561" s="25"/>
      <c r="G561" s="26">
        <f>SUM(G562)</f>
        <v>0</v>
      </c>
      <c r="H561" s="26">
        <f>SUM(H562)</f>
        <v>0</v>
      </c>
      <c r="I561" s="26" t="e">
        <f t="shared" si="16"/>
        <v>#DIV/0!</v>
      </c>
    </row>
    <row r="562" spans="1:9" s="39" customFormat="1" ht="20.25" customHeight="1" hidden="1">
      <c r="A562" s="301" t="s">
        <v>56</v>
      </c>
      <c r="B562" s="83"/>
      <c r="C562" s="57" t="s">
        <v>998</v>
      </c>
      <c r="D562" s="57" t="s">
        <v>1150</v>
      </c>
      <c r="E562" s="57" t="s">
        <v>57</v>
      </c>
      <c r="F562" s="29"/>
      <c r="G562" s="26">
        <f>SUM(G563)</f>
        <v>0</v>
      </c>
      <c r="H562" s="26">
        <f>SUM(H563)</f>
        <v>0</v>
      </c>
      <c r="I562" s="26" t="e">
        <f t="shared" si="16"/>
        <v>#DIV/0!</v>
      </c>
    </row>
    <row r="563" spans="1:9" s="39" customFormat="1" ht="22.5" customHeight="1" hidden="1">
      <c r="A563" s="285" t="s">
        <v>960</v>
      </c>
      <c r="B563" s="83"/>
      <c r="C563" s="57" t="s">
        <v>998</v>
      </c>
      <c r="D563" s="57" t="s">
        <v>1150</v>
      </c>
      <c r="E563" s="57" t="s">
        <v>57</v>
      </c>
      <c r="F563" s="29" t="s">
        <v>961</v>
      </c>
      <c r="G563" s="26"/>
      <c r="H563" s="26"/>
      <c r="I563" s="26" t="e">
        <f t="shared" si="16"/>
        <v>#DIV/0!</v>
      </c>
    </row>
    <row r="564" spans="1:9" ht="68.25" customHeight="1" hidden="1">
      <c r="A564" s="285" t="s">
        <v>726</v>
      </c>
      <c r="B564" s="23"/>
      <c r="C564" s="37" t="s">
        <v>998</v>
      </c>
      <c r="D564" s="37" t="s">
        <v>1150</v>
      </c>
      <c r="E564" s="24" t="s">
        <v>899</v>
      </c>
      <c r="F564" s="25"/>
      <c r="G564" s="26">
        <f>SUM(G565)</f>
        <v>0</v>
      </c>
      <c r="H564" s="26">
        <f>SUM(H565)</f>
        <v>5628.5</v>
      </c>
      <c r="I564" s="26" t="e">
        <f t="shared" si="16"/>
        <v>#DIV/0!</v>
      </c>
    </row>
    <row r="565" spans="1:9" ht="75" customHeight="1" hidden="1">
      <c r="A565" s="287" t="s">
        <v>900</v>
      </c>
      <c r="B565" s="23"/>
      <c r="C565" s="37" t="s">
        <v>998</v>
      </c>
      <c r="D565" s="37" t="s">
        <v>1150</v>
      </c>
      <c r="E565" s="24" t="s">
        <v>901</v>
      </c>
      <c r="F565" s="28"/>
      <c r="G565" s="26">
        <f>SUM(G566)</f>
        <v>0</v>
      </c>
      <c r="H565" s="26">
        <f>SUM(H566)</f>
        <v>5628.5</v>
      </c>
      <c r="I565" s="26" t="e">
        <f aca="true" t="shared" si="18" ref="I565:I582">SUM(H565/G565*100)</f>
        <v>#DIV/0!</v>
      </c>
    </row>
    <row r="566" spans="1:9" ht="15.75" customHeight="1" hidden="1">
      <c r="A566" s="285" t="s">
        <v>960</v>
      </c>
      <c r="B566" s="91"/>
      <c r="C566" s="37" t="s">
        <v>998</v>
      </c>
      <c r="D566" s="37" t="s">
        <v>1150</v>
      </c>
      <c r="E566" s="24" t="s">
        <v>901</v>
      </c>
      <c r="F566" s="103" t="s">
        <v>961</v>
      </c>
      <c r="G566" s="54"/>
      <c r="H566" s="54">
        <v>5628.5</v>
      </c>
      <c r="I566" s="26" t="e">
        <f t="shared" si="18"/>
        <v>#DIV/0!</v>
      </c>
    </row>
    <row r="567" spans="1:9" s="39" customFormat="1" ht="15" hidden="1">
      <c r="A567" s="287" t="s">
        <v>691</v>
      </c>
      <c r="B567" s="23"/>
      <c r="C567" s="37" t="s">
        <v>998</v>
      </c>
      <c r="D567" s="37" t="s">
        <v>1150</v>
      </c>
      <c r="E567" s="24" t="s">
        <v>727</v>
      </c>
      <c r="F567" s="28"/>
      <c r="G567" s="26">
        <f>SUM(G568)</f>
        <v>0</v>
      </c>
      <c r="H567" s="26">
        <f>SUM(H568)</f>
        <v>0</v>
      </c>
      <c r="I567" s="26" t="e">
        <f t="shared" si="18"/>
        <v>#DIV/0!</v>
      </c>
    </row>
    <row r="568" spans="1:9" ht="18" customHeight="1" hidden="1">
      <c r="A568" s="285" t="s">
        <v>960</v>
      </c>
      <c r="B568" s="91"/>
      <c r="C568" s="37" t="s">
        <v>998</v>
      </c>
      <c r="D568" s="37" t="s">
        <v>1150</v>
      </c>
      <c r="E568" s="24" t="s">
        <v>727</v>
      </c>
      <c r="F568" s="103" t="s">
        <v>961</v>
      </c>
      <c r="G568" s="54"/>
      <c r="H568" s="54"/>
      <c r="I568" s="26" t="e">
        <f t="shared" si="18"/>
        <v>#DIV/0!</v>
      </c>
    </row>
    <row r="569" spans="1:9" ht="15.75" hidden="1">
      <c r="A569" s="285" t="s">
        <v>990</v>
      </c>
      <c r="B569" s="56"/>
      <c r="C569" s="37" t="s">
        <v>998</v>
      </c>
      <c r="D569" s="37" t="s">
        <v>1150</v>
      </c>
      <c r="E569" s="37" t="s">
        <v>991</v>
      </c>
      <c r="F569" s="103"/>
      <c r="G569" s="54">
        <f>SUM(G570)</f>
        <v>0</v>
      </c>
      <c r="H569" s="54">
        <f>SUM(H570)</f>
        <v>0</v>
      </c>
      <c r="I569" s="26" t="e">
        <f t="shared" si="18"/>
        <v>#DIV/0!</v>
      </c>
    </row>
    <row r="570" spans="1:9" ht="42.75" hidden="1">
      <c r="A570" s="285" t="s">
        <v>860</v>
      </c>
      <c r="B570" s="91"/>
      <c r="C570" s="37" t="s">
        <v>998</v>
      </c>
      <c r="D570" s="37" t="s">
        <v>1150</v>
      </c>
      <c r="E570" s="37" t="s">
        <v>1124</v>
      </c>
      <c r="F570" s="103"/>
      <c r="G570" s="54">
        <f>SUM(G571)+G574</f>
        <v>0</v>
      </c>
      <c r="H570" s="54">
        <f>SUM(H571)+H574</f>
        <v>0</v>
      </c>
      <c r="I570" s="26" t="e">
        <f t="shared" si="18"/>
        <v>#DIV/0!</v>
      </c>
    </row>
    <row r="571" spans="1:9" s="39" customFormat="1" ht="28.5" hidden="1">
      <c r="A571" s="285" t="s">
        <v>698</v>
      </c>
      <c r="B571" s="91"/>
      <c r="C571" s="37" t="s">
        <v>998</v>
      </c>
      <c r="D571" s="37" t="s">
        <v>1150</v>
      </c>
      <c r="E571" s="37" t="s">
        <v>699</v>
      </c>
      <c r="F571" s="103"/>
      <c r="G571" s="54">
        <f>SUM(G572+G573)</f>
        <v>0</v>
      </c>
      <c r="H571" s="54">
        <f>SUM(H572+H573)</f>
        <v>0</v>
      </c>
      <c r="I571" s="26" t="e">
        <f t="shared" si="18"/>
        <v>#DIV/0!</v>
      </c>
    </row>
    <row r="572" spans="1:9" ht="15" hidden="1">
      <c r="A572" s="299" t="s">
        <v>1147</v>
      </c>
      <c r="B572" s="91"/>
      <c r="C572" s="37" t="s">
        <v>998</v>
      </c>
      <c r="D572" s="37" t="s">
        <v>1150</v>
      </c>
      <c r="E572" s="37" t="s">
        <v>699</v>
      </c>
      <c r="F572" s="103" t="s">
        <v>1148</v>
      </c>
      <c r="G572" s="54"/>
      <c r="H572" s="54"/>
      <c r="I572" s="26" t="e">
        <f t="shared" si="18"/>
        <v>#DIV/0!</v>
      </c>
    </row>
    <row r="573" spans="1:9" ht="15" hidden="1">
      <c r="A573" s="285" t="s">
        <v>147</v>
      </c>
      <c r="B573" s="91"/>
      <c r="C573" s="37" t="s">
        <v>998</v>
      </c>
      <c r="D573" s="37" t="s">
        <v>1150</v>
      </c>
      <c r="E573" s="37" t="s">
        <v>699</v>
      </c>
      <c r="F573" s="103" t="s">
        <v>149</v>
      </c>
      <c r="G573" s="54"/>
      <c r="H573" s="54"/>
      <c r="I573" s="26" t="e">
        <f t="shared" si="18"/>
        <v>#DIV/0!</v>
      </c>
    </row>
    <row r="574" spans="1:9" ht="43.5" customHeight="1" hidden="1">
      <c r="A574" s="285" t="s">
        <v>150</v>
      </c>
      <c r="B574" s="91"/>
      <c r="C574" s="37" t="s">
        <v>998</v>
      </c>
      <c r="D574" s="37" t="s">
        <v>1150</v>
      </c>
      <c r="E574" s="37" t="s">
        <v>148</v>
      </c>
      <c r="F574" s="103"/>
      <c r="G574" s="54">
        <f>SUM(G575)</f>
        <v>0</v>
      </c>
      <c r="H574" s="54">
        <f>SUM(H575)</f>
        <v>0</v>
      </c>
      <c r="I574" s="26" t="e">
        <f t="shared" si="18"/>
        <v>#DIV/0!</v>
      </c>
    </row>
    <row r="575" spans="1:9" ht="19.5" customHeight="1" hidden="1">
      <c r="A575" s="285" t="s">
        <v>147</v>
      </c>
      <c r="B575" s="91"/>
      <c r="C575" s="37" t="s">
        <v>998</v>
      </c>
      <c r="D575" s="37" t="s">
        <v>1150</v>
      </c>
      <c r="E575" s="37" t="s">
        <v>148</v>
      </c>
      <c r="F575" s="103" t="s">
        <v>149</v>
      </c>
      <c r="G575" s="54"/>
      <c r="H575" s="54"/>
      <c r="I575" s="26" t="e">
        <f t="shared" si="18"/>
        <v>#DIV/0!</v>
      </c>
    </row>
    <row r="576" spans="1:9" ht="44.25" customHeight="1" hidden="1">
      <c r="A576" s="285" t="s">
        <v>861</v>
      </c>
      <c r="B576" s="91"/>
      <c r="C576" s="37" t="s">
        <v>998</v>
      </c>
      <c r="D576" s="37" t="s">
        <v>1150</v>
      </c>
      <c r="E576" s="37" t="s">
        <v>148</v>
      </c>
      <c r="F576" s="103"/>
      <c r="G576" s="54">
        <f>SUM(G577)</f>
        <v>0</v>
      </c>
      <c r="H576" s="54">
        <f>SUM(H577)</f>
        <v>1957.2</v>
      </c>
      <c r="I576" s="26" t="e">
        <f t="shared" si="18"/>
        <v>#DIV/0!</v>
      </c>
    </row>
    <row r="577" spans="1:9" ht="24" customHeight="1" hidden="1">
      <c r="A577" s="285" t="s">
        <v>147</v>
      </c>
      <c r="B577" s="91"/>
      <c r="C577" s="37" t="s">
        <v>998</v>
      </c>
      <c r="D577" s="37" t="s">
        <v>1150</v>
      </c>
      <c r="E577" s="37" t="s">
        <v>148</v>
      </c>
      <c r="F577" s="103" t="s">
        <v>149</v>
      </c>
      <c r="G577" s="54"/>
      <c r="H577" s="54">
        <v>1957.2</v>
      </c>
      <c r="I577" s="26" t="e">
        <f t="shared" si="18"/>
        <v>#DIV/0!</v>
      </c>
    </row>
    <row r="578" spans="1:9" ht="22.5" customHeight="1" hidden="1">
      <c r="A578" s="297" t="s">
        <v>1186</v>
      </c>
      <c r="B578" s="36"/>
      <c r="C578" s="37" t="s">
        <v>998</v>
      </c>
      <c r="D578" s="37" t="s">
        <v>1150</v>
      </c>
      <c r="E578" s="37" t="s">
        <v>1187</v>
      </c>
      <c r="F578" s="28"/>
      <c r="G578" s="26">
        <f>SUM(G579)</f>
        <v>0</v>
      </c>
      <c r="H578" s="26">
        <f>SUM(H579)</f>
        <v>978.6</v>
      </c>
      <c r="I578" s="26" t="e">
        <f t="shared" si="18"/>
        <v>#DIV/0!</v>
      </c>
    </row>
    <row r="579" spans="1:9" ht="15" hidden="1">
      <c r="A579" s="299" t="s">
        <v>1147</v>
      </c>
      <c r="B579" s="23"/>
      <c r="C579" s="37" t="s">
        <v>998</v>
      </c>
      <c r="D579" s="37" t="s">
        <v>1150</v>
      </c>
      <c r="E579" s="37" t="s">
        <v>1187</v>
      </c>
      <c r="F579" s="28" t="s">
        <v>1148</v>
      </c>
      <c r="G579" s="26">
        <f>SUM(G580)</f>
        <v>0</v>
      </c>
      <c r="H579" s="26">
        <f>SUM(H580)</f>
        <v>978.6</v>
      </c>
      <c r="I579" s="26" t="e">
        <f t="shared" si="18"/>
        <v>#DIV/0!</v>
      </c>
    </row>
    <row r="580" spans="1:9" ht="28.5" hidden="1">
      <c r="A580" s="299" t="s">
        <v>453</v>
      </c>
      <c r="B580" s="23"/>
      <c r="C580" s="37" t="s">
        <v>998</v>
      </c>
      <c r="D580" s="37" t="s">
        <v>1150</v>
      </c>
      <c r="E580" s="33" t="s">
        <v>454</v>
      </c>
      <c r="F580" s="25" t="s">
        <v>1148</v>
      </c>
      <c r="G580" s="26">
        <f>SUM(G581:G582)</f>
        <v>0</v>
      </c>
      <c r="H580" s="26">
        <f>SUM(H581:H582)</f>
        <v>978.6</v>
      </c>
      <c r="I580" s="26" t="e">
        <f t="shared" si="18"/>
        <v>#DIV/0!</v>
      </c>
    </row>
    <row r="581" spans="1:9" ht="28.5" hidden="1">
      <c r="A581" s="285" t="s">
        <v>698</v>
      </c>
      <c r="B581" s="36"/>
      <c r="C581" s="37" t="s">
        <v>998</v>
      </c>
      <c r="D581" s="37" t="s">
        <v>1150</v>
      </c>
      <c r="E581" s="33" t="s">
        <v>153</v>
      </c>
      <c r="F581" s="25" t="s">
        <v>1148</v>
      </c>
      <c r="G581" s="54"/>
      <c r="H581" s="54"/>
      <c r="I581" s="26" t="e">
        <f t="shared" si="18"/>
        <v>#DIV/0!</v>
      </c>
    </row>
    <row r="582" spans="1:9" ht="28.5" hidden="1">
      <c r="A582" s="285" t="s">
        <v>317</v>
      </c>
      <c r="B582" s="36"/>
      <c r="C582" s="37" t="s">
        <v>998</v>
      </c>
      <c r="D582" s="37" t="s">
        <v>1150</v>
      </c>
      <c r="E582" s="33" t="s">
        <v>318</v>
      </c>
      <c r="F582" s="25" t="s">
        <v>1148</v>
      </c>
      <c r="G582" s="54"/>
      <c r="H582" s="54">
        <v>978.6</v>
      </c>
      <c r="I582" s="26" t="e">
        <f t="shared" si="18"/>
        <v>#DIV/0!</v>
      </c>
    </row>
    <row r="583" spans="1:9" s="333" customFormat="1" ht="15">
      <c r="A583" s="299" t="s">
        <v>134</v>
      </c>
      <c r="B583" s="32"/>
      <c r="C583" s="33" t="s">
        <v>36</v>
      </c>
      <c r="D583" s="33"/>
      <c r="E583" s="33"/>
      <c r="F583" s="103"/>
      <c r="G583" s="54">
        <f>SUM(G584)</f>
        <v>6300</v>
      </c>
      <c r="H583" s="54" t="e">
        <f>SUM(H584+#REF!+H617+H621+H648+H677)</f>
        <v>#REF!</v>
      </c>
      <c r="I583" s="54" t="e">
        <f>SUM(H583/G583*100)</f>
        <v>#REF!</v>
      </c>
    </row>
    <row r="584" spans="1:9" ht="15">
      <c r="A584" s="285" t="s">
        <v>114</v>
      </c>
      <c r="B584" s="23"/>
      <c r="C584" s="24" t="s">
        <v>36</v>
      </c>
      <c r="D584" s="24" t="s">
        <v>1190</v>
      </c>
      <c r="E584" s="37"/>
      <c r="F584" s="28"/>
      <c r="G584" s="54">
        <f>SUM(G585)</f>
        <v>6300</v>
      </c>
      <c r="H584" s="26"/>
      <c r="I584" s="26"/>
    </row>
    <row r="585" spans="1:9" ht="15">
      <c r="A585" s="297" t="s">
        <v>1186</v>
      </c>
      <c r="B585" s="36"/>
      <c r="C585" s="24" t="s">
        <v>36</v>
      </c>
      <c r="D585" s="24" t="s">
        <v>1190</v>
      </c>
      <c r="E585" s="37" t="s">
        <v>1187</v>
      </c>
      <c r="F585" s="28"/>
      <c r="G585" s="54">
        <f>SUM(G586)</f>
        <v>6300</v>
      </c>
      <c r="H585" s="26" t="e">
        <f>SUM(H588)+H592+H594</f>
        <v>#REF!</v>
      </c>
      <c r="I585" s="26" t="e">
        <f>SUM(H585/G585*100)</f>
        <v>#REF!</v>
      </c>
    </row>
    <row r="586" spans="1:9" ht="28.5">
      <c r="A586" s="285" t="s">
        <v>836</v>
      </c>
      <c r="B586" s="23"/>
      <c r="C586" s="24" t="s">
        <v>36</v>
      </c>
      <c r="D586" s="24" t="s">
        <v>1190</v>
      </c>
      <c r="E586" s="37" t="s">
        <v>469</v>
      </c>
      <c r="F586" s="103"/>
      <c r="G586" s="54">
        <f>SUM(G587)</f>
        <v>6300</v>
      </c>
      <c r="H586" s="54">
        <f>SUM(H587)</f>
        <v>1042.3</v>
      </c>
      <c r="I586" s="26">
        <f>SUM(H586/G586*100)</f>
        <v>16.544444444444444</v>
      </c>
    </row>
    <row r="587" spans="1:9" ht="15">
      <c r="A587" s="342" t="s">
        <v>198</v>
      </c>
      <c r="B587" s="23"/>
      <c r="C587" s="24" t="s">
        <v>36</v>
      </c>
      <c r="D587" s="24" t="s">
        <v>1190</v>
      </c>
      <c r="E587" s="37" t="s">
        <v>469</v>
      </c>
      <c r="F587" s="103" t="s">
        <v>199</v>
      </c>
      <c r="G587" s="54">
        <f>5000+1300</f>
        <v>6300</v>
      </c>
      <c r="H587" s="54">
        <v>1042.3</v>
      </c>
      <c r="I587" s="26">
        <f>SUM(H587/G587*100)</f>
        <v>16.544444444444444</v>
      </c>
    </row>
    <row r="588" spans="1:9" ht="30">
      <c r="A588" s="298" t="s">
        <v>862</v>
      </c>
      <c r="B588" s="96" t="s">
        <v>863</v>
      </c>
      <c r="C588" s="46"/>
      <c r="D588" s="94"/>
      <c r="E588" s="94"/>
      <c r="F588" s="95"/>
      <c r="G588" s="161">
        <f>SUM(G589+G603+G607+G611+G615+G619)</f>
        <v>51873.1</v>
      </c>
      <c r="H588" s="161" t="e">
        <f>SUM(H589)+H615+H619</f>
        <v>#REF!</v>
      </c>
      <c r="I588" s="45" t="e">
        <f aca="true" t="shared" si="19" ref="I588:I651">SUM(H588/G588*100)</f>
        <v>#REF!</v>
      </c>
    </row>
    <row r="589" spans="1:9" ht="15">
      <c r="A589" s="285" t="s">
        <v>1139</v>
      </c>
      <c r="B589" s="23"/>
      <c r="C589" s="24" t="s">
        <v>1140</v>
      </c>
      <c r="D589" s="24"/>
      <c r="E589" s="24"/>
      <c r="F589" s="25"/>
      <c r="G589" s="26">
        <f>SUM(G590+G599+G596)</f>
        <v>23848.8</v>
      </c>
      <c r="H589" s="26" t="e">
        <f>SUM(H590+H599+H611+H596)</f>
        <v>#REF!</v>
      </c>
      <c r="I589" s="26" t="e">
        <f t="shared" si="19"/>
        <v>#REF!</v>
      </c>
    </row>
    <row r="590" spans="1:9" ht="28.5">
      <c r="A590" s="285" t="s">
        <v>641</v>
      </c>
      <c r="B590" s="23"/>
      <c r="C590" s="24" t="s">
        <v>1140</v>
      </c>
      <c r="D590" s="24" t="s">
        <v>642</v>
      </c>
      <c r="E590" s="24"/>
      <c r="F590" s="25"/>
      <c r="G590" s="26">
        <f>SUM(G591)</f>
        <v>20106.2</v>
      </c>
      <c r="H590" s="26">
        <f>SUM(H591)</f>
        <v>9708.8</v>
      </c>
      <c r="I590" s="26">
        <f t="shared" si="19"/>
        <v>48.28759288179765</v>
      </c>
    </row>
    <row r="591" spans="1:9" ht="45.75" customHeight="1">
      <c r="A591" s="285" t="s">
        <v>1143</v>
      </c>
      <c r="B591" s="23"/>
      <c r="C591" s="24" t="s">
        <v>1140</v>
      </c>
      <c r="D591" s="24" t="s">
        <v>642</v>
      </c>
      <c r="E591" s="24" t="s">
        <v>1144</v>
      </c>
      <c r="F591" s="25"/>
      <c r="G591" s="26">
        <f>SUM(G592)</f>
        <v>20106.2</v>
      </c>
      <c r="H591" s="26">
        <f>SUM(H592)</f>
        <v>9708.8</v>
      </c>
      <c r="I591" s="26">
        <f t="shared" si="19"/>
        <v>48.28759288179765</v>
      </c>
    </row>
    <row r="592" spans="1:9" ht="15">
      <c r="A592" s="285" t="s">
        <v>1151</v>
      </c>
      <c r="B592" s="23"/>
      <c r="C592" s="24" t="s">
        <v>1140</v>
      </c>
      <c r="D592" s="24" t="s">
        <v>642</v>
      </c>
      <c r="E592" s="24" t="s">
        <v>1153</v>
      </c>
      <c r="F592" s="25"/>
      <c r="G592" s="26">
        <f>SUM(G593+G594)</f>
        <v>20106.2</v>
      </c>
      <c r="H592" s="26">
        <f>SUM(H593+H594)</f>
        <v>9708.8</v>
      </c>
      <c r="I592" s="26">
        <f t="shared" si="19"/>
        <v>48.28759288179765</v>
      </c>
    </row>
    <row r="593" spans="1:9" s="118" customFormat="1" ht="27" customHeight="1">
      <c r="A593" s="285" t="s">
        <v>1147</v>
      </c>
      <c r="B593" s="23"/>
      <c r="C593" s="24" t="s">
        <v>1152</v>
      </c>
      <c r="D593" s="24" t="s">
        <v>642</v>
      </c>
      <c r="E593" s="24" t="s">
        <v>1153</v>
      </c>
      <c r="F593" s="29" t="s">
        <v>1148</v>
      </c>
      <c r="G593" s="26">
        <v>4766.8</v>
      </c>
      <c r="H593" s="26">
        <v>122.5</v>
      </c>
      <c r="I593" s="26">
        <f t="shared" si="19"/>
        <v>2.569858185785013</v>
      </c>
    </row>
    <row r="594" spans="1:9" s="118" customFormat="1" ht="46.5" customHeight="1">
      <c r="A594" s="285" t="s">
        <v>643</v>
      </c>
      <c r="B594" s="23"/>
      <c r="C594" s="24" t="s">
        <v>1152</v>
      </c>
      <c r="D594" s="24" t="s">
        <v>642</v>
      </c>
      <c r="E594" s="24" t="s">
        <v>644</v>
      </c>
      <c r="F594" s="25"/>
      <c r="G594" s="26">
        <f>SUM(G595)</f>
        <v>15339.4</v>
      </c>
      <c r="H594" s="26">
        <f>SUM(H595)</f>
        <v>9586.3</v>
      </c>
      <c r="I594" s="26">
        <f t="shared" si="19"/>
        <v>62.49462169315618</v>
      </c>
    </row>
    <row r="595" spans="1:9" ht="26.25" customHeight="1">
      <c r="A595" s="285" t="s">
        <v>1147</v>
      </c>
      <c r="B595" s="23"/>
      <c r="C595" s="24" t="s">
        <v>1152</v>
      </c>
      <c r="D595" s="24" t="s">
        <v>642</v>
      </c>
      <c r="E595" s="24" t="s">
        <v>644</v>
      </c>
      <c r="F595" s="29" t="s">
        <v>1148</v>
      </c>
      <c r="G595" s="26">
        <v>15339.4</v>
      </c>
      <c r="H595" s="26">
        <v>9586.3</v>
      </c>
      <c r="I595" s="26">
        <f t="shared" si="19"/>
        <v>62.49462169315618</v>
      </c>
    </row>
    <row r="596" spans="1:9" ht="21" customHeight="1" hidden="1">
      <c r="A596" s="285" t="s">
        <v>1156</v>
      </c>
      <c r="B596" s="23"/>
      <c r="C596" s="24" t="s">
        <v>1140</v>
      </c>
      <c r="D596" s="24" t="s">
        <v>111</v>
      </c>
      <c r="E596" s="24"/>
      <c r="F596" s="28"/>
      <c r="G596" s="26">
        <f>SUM(G597)</f>
        <v>0</v>
      </c>
      <c r="H596" s="26" t="e">
        <f>SUM(H597+H615+H618+H621+H624+#REF!+H612)+H601+H599</f>
        <v>#REF!</v>
      </c>
      <c r="I596" s="26" t="e">
        <f t="shared" si="19"/>
        <v>#REF!</v>
      </c>
    </row>
    <row r="597" spans="1:9" ht="27.75" customHeight="1" hidden="1">
      <c r="A597" s="287" t="s">
        <v>758</v>
      </c>
      <c r="B597" s="23"/>
      <c r="C597" s="24" t="s">
        <v>1140</v>
      </c>
      <c r="D597" s="24" t="s">
        <v>111</v>
      </c>
      <c r="E597" s="24" t="s">
        <v>759</v>
      </c>
      <c r="F597" s="29"/>
      <c r="G597" s="26">
        <f>SUM(G598)</f>
        <v>0</v>
      </c>
      <c r="H597" s="26">
        <f>SUM(H598)</f>
        <v>5048</v>
      </c>
      <c r="I597" s="26" t="e">
        <f t="shared" si="19"/>
        <v>#DIV/0!</v>
      </c>
    </row>
    <row r="598" spans="1:9" ht="28.5" customHeight="1" hidden="1">
      <c r="A598" s="285" t="s">
        <v>1147</v>
      </c>
      <c r="B598" s="23"/>
      <c r="C598" s="24" t="s">
        <v>1140</v>
      </c>
      <c r="D598" s="24" t="s">
        <v>111</v>
      </c>
      <c r="E598" s="24" t="s">
        <v>759</v>
      </c>
      <c r="F598" s="29" t="s">
        <v>1148</v>
      </c>
      <c r="G598" s="26"/>
      <c r="H598" s="26">
        <v>5048</v>
      </c>
      <c r="I598" s="26" t="e">
        <f t="shared" si="19"/>
        <v>#DIV/0!</v>
      </c>
    </row>
    <row r="599" spans="1:9" ht="15">
      <c r="A599" s="285" t="s">
        <v>660</v>
      </c>
      <c r="B599" s="23"/>
      <c r="C599" s="24" t="s">
        <v>1140</v>
      </c>
      <c r="D599" s="24" t="s">
        <v>36</v>
      </c>
      <c r="E599" s="24"/>
      <c r="F599" s="25"/>
      <c r="G599" s="26">
        <f>SUM(G600)</f>
        <v>3742.6</v>
      </c>
      <c r="H599" s="26">
        <f>SUM(H600)</f>
        <v>0</v>
      </c>
      <c r="I599" s="26">
        <f t="shared" si="19"/>
        <v>0</v>
      </c>
    </row>
    <row r="600" spans="1:9" ht="15">
      <c r="A600" s="285" t="s">
        <v>660</v>
      </c>
      <c r="B600" s="23"/>
      <c r="C600" s="24" t="s">
        <v>1140</v>
      </c>
      <c r="D600" s="24" t="s">
        <v>36</v>
      </c>
      <c r="E600" s="24" t="s">
        <v>662</v>
      </c>
      <c r="F600" s="25"/>
      <c r="G600" s="26">
        <f>SUM(G602)</f>
        <v>3742.6</v>
      </c>
      <c r="H600" s="26">
        <f>SUM(H602)</f>
        <v>0</v>
      </c>
      <c r="I600" s="26">
        <f t="shared" si="19"/>
        <v>0</v>
      </c>
    </row>
    <row r="601" spans="1:9" ht="15">
      <c r="A601" s="285" t="s">
        <v>638</v>
      </c>
      <c r="B601" s="23"/>
      <c r="C601" s="24" t="s">
        <v>1140</v>
      </c>
      <c r="D601" s="24" t="s">
        <v>36</v>
      </c>
      <c r="E601" s="24" t="s">
        <v>639</v>
      </c>
      <c r="F601" s="25"/>
      <c r="G601" s="26">
        <f>SUM(G602)</f>
        <v>3742.6</v>
      </c>
      <c r="H601" s="26">
        <f>SUM(H602)</f>
        <v>0</v>
      </c>
      <c r="I601" s="26">
        <f t="shared" si="19"/>
        <v>0</v>
      </c>
    </row>
    <row r="602" spans="1:9" ht="16.5" customHeight="1">
      <c r="A602" s="291" t="s">
        <v>663</v>
      </c>
      <c r="B602" s="36"/>
      <c r="C602" s="24" t="s">
        <v>1140</v>
      </c>
      <c r="D602" s="24" t="s">
        <v>36</v>
      </c>
      <c r="E602" s="24" t="s">
        <v>639</v>
      </c>
      <c r="F602" s="28" t="s">
        <v>659</v>
      </c>
      <c r="G602" s="26">
        <v>3742.6</v>
      </c>
      <c r="H602" s="26"/>
      <c r="I602" s="26">
        <f t="shared" si="19"/>
        <v>0</v>
      </c>
    </row>
    <row r="603" spans="1:9" s="58" customFormat="1" ht="18" customHeight="1" hidden="1">
      <c r="A603" s="291" t="s">
        <v>1086</v>
      </c>
      <c r="B603" s="36"/>
      <c r="C603" s="37" t="s">
        <v>1190</v>
      </c>
      <c r="D603" s="37"/>
      <c r="E603" s="37"/>
      <c r="F603" s="29"/>
      <c r="G603" s="164">
        <f>SUM(G604)</f>
        <v>0</v>
      </c>
      <c r="H603" s="164" t="e">
        <f>SUM(H604+H739+H766+H793)</f>
        <v>#REF!</v>
      </c>
      <c r="I603" s="26" t="e">
        <f t="shared" si="19"/>
        <v>#REF!</v>
      </c>
    </row>
    <row r="604" spans="1:9" s="165" customFormat="1" ht="16.5" customHeight="1" hidden="1">
      <c r="A604" s="291" t="s">
        <v>456</v>
      </c>
      <c r="B604" s="36"/>
      <c r="C604" s="37" t="s">
        <v>1190</v>
      </c>
      <c r="D604" s="37" t="s">
        <v>1150</v>
      </c>
      <c r="E604" s="37"/>
      <c r="F604" s="28"/>
      <c r="G604" s="26">
        <f>SUM(G605)</f>
        <v>0</v>
      </c>
      <c r="H604" s="26" t="e">
        <f>SUM(H607+H624)+H605</f>
        <v>#REF!</v>
      </c>
      <c r="I604" s="26" t="e">
        <f t="shared" si="19"/>
        <v>#REF!</v>
      </c>
    </row>
    <row r="605" spans="1:9" ht="27.75" customHeight="1" hidden="1">
      <c r="A605" s="287" t="s">
        <v>758</v>
      </c>
      <c r="B605" s="23"/>
      <c r="C605" s="37" t="s">
        <v>1190</v>
      </c>
      <c r="D605" s="37" t="s">
        <v>1150</v>
      </c>
      <c r="E605" s="24" t="s">
        <v>759</v>
      </c>
      <c r="F605" s="29"/>
      <c r="G605" s="26">
        <f>SUM(G606)</f>
        <v>0</v>
      </c>
      <c r="H605" s="26">
        <f>SUM(H606)</f>
        <v>5048</v>
      </c>
      <c r="I605" s="26" t="e">
        <f>SUM(H605/G605*100)</f>
        <v>#DIV/0!</v>
      </c>
    </row>
    <row r="606" spans="1:9" ht="28.5" customHeight="1" hidden="1">
      <c r="A606" s="285" t="s">
        <v>1147</v>
      </c>
      <c r="B606" s="23"/>
      <c r="C606" s="37" t="s">
        <v>1190</v>
      </c>
      <c r="D606" s="37" t="s">
        <v>1150</v>
      </c>
      <c r="E606" s="24" t="s">
        <v>759</v>
      </c>
      <c r="F606" s="29" t="s">
        <v>1148</v>
      </c>
      <c r="G606" s="26"/>
      <c r="H606" s="26">
        <v>5048</v>
      </c>
      <c r="I606" s="26" t="e">
        <f>SUM(H606/G606*100)</f>
        <v>#DIV/0!</v>
      </c>
    </row>
    <row r="607" spans="1:9" ht="15" hidden="1">
      <c r="A607" s="299" t="s">
        <v>1162</v>
      </c>
      <c r="B607" s="23"/>
      <c r="C607" s="84" t="s">
        <v>1163</v>
      </c>
      <c r="D607" s="84"/>
      <c r="E607" s="84"/>
      <c r="F607" s="49"/>
      <c r="G607" s="54">
        <f>SUM(G608)</f>
        <v>0</v>
      </c>
      <c r="H607" s="54" t="e">
        <f>SUM(H608)+H616+H623</f>
        <v>#REF!</v>
      </c>
      <c r="I607" s="26" t="e">
        <f>SUM(H607/G607*100)</f>
        <v>#REF!</v>
      </c>
    </row>
    <row r="608" spans="1:9" ht="18.75" customHeight="1" hidden="1">
      <c r="A608" s="297" t="s">
        <v>98</v>
      </c>
      <c r="B608" s="36"/>
      <c r="C608" s="37" t="s">
        <v>1163</v>
      </c>
      <c r="D608" s="37" t="s">
        <v>971</v>
      </c>
      <c r="E608" s="37"/>
      <c r="F608" s="28"/>
      <c r="G608" s="26">
        <f>SUM(G609)</f>
        <v>0</v>
      </c>
      <c r="H608" s="26"/>
      <c r="I608" s="26"/>
    </row>
    <row r="609" spans="1:9" ht="27.75" customHeight="1" hidden="1">
      <c r="A609" s="287" t="s">
        <v>758</v>
      </c>
      <c r="B609" s="23"/>
      <c r="C609" s="37" t="s">
        <v>1163</v>
      </c>
      <c r="D609" s="37" t="s">
        <v>971</v>
      </c>
      <c r="E609" s="24" t="s">
        <v>759</v>
      </c>
      <c r="F609" s="29"/>
      <c r="G609" s="26">
        <f>SUM(G610)</f>
        <v>0</v>
      </c>
      <c r="H609" s="26">
        <f>SUM(H610)</f>
        <v>0</v>
      </c>
      <c r="I609" s="26" t="e">
        <f>SUM(H609/G609*100)</f>
        <v>#DIV/0!</v>
      </c>
    </row>
    <row r="610" spans="1:9" ht="16.5" customHeight="1" hidden="1">
      <c r="A610" s="297" t="s">
        <v>494</v>
      </c>
      <c r="B610" s="30"/>
      <c r="C610" s="84" t="s">
        <v>998</v>
      </c>
      <c r="D610" s="84" t="s">
        <v>642</v>
      </c>
      <c r="E610" s="24" t="s">
        <v>759</v>
      </c>
      <c r="F610" s="25" t="s">
        <v>142</v>
      </c>
      <c r="G610" s="54"/>
      <c r="H610" s="26"/>
      <c r="I610" s="26"/>
    </row>
    <row r="611" spans="1:9" ht="15" hidden="1">
      <c r="A611" s="285" t="s">
        <v>531</v>
      </c>
      <c r="B611" s="23"/>
      <c r="C611" s="37" t="s">
        <v>1176</v>
      </c>
      <c r="D611" s="37"/>
      <c r="E611" s="37"/>
      <c r="F611" s="28"/>
      <c r="G611" s="26">
        <f>SUM(G612)</f>
        <v>0</v>
      </c>
      <c r="H611" s="26" t="e">
        <f>SUM(H612+H664)</f>
        <v>#REF!</v>
      </c>
      <c r="I611" s="26" t="e">
        <f>SUM(H611/G611*100)</f>
        <v>#REF!</v>
      </c>
    </row>
    <row r="612" spans="1:9" ht="28.5" hidden="1">
      <c r="A612" s="287" t="s">
        <v>633</v>
      </c>
      <c r="B612" s="42"/>
      <c r="C612" s="33" t="s">
        <v>1176</v>
      </c>
      <c r="D612" s="33" t="s">
        <v>1174</v>
      </c>
      <c r="E612" s="33"/>
      <c r="F612" s="103"/>
      <c r="G612" s="26">
        <f>SUM(G613)</f>
        <v>0</v>
      </c>
      <c r="H612" s="26" t="e">
        <f>SUM(H616+H619+H614)</f>
        <v>#REF!</v>
      </c>
      <c r="I612" s="26" t="e">
        <f>SUM(H612/G612*100)</f>
        <v>#REF!</v>
      </c>
    </row>
    <row r="613" spans="1:9" ht="27.75" customHeight="1" hidden="1">
      <c r="A613" s="287" t="s">
        <v>758</v>
      </c>
      <c r="B613" s="23"/>
      <c r="C613" s="33" t="s">
        <v>1176</v>
      </c>
      <c r="D613" s="33" t="s">
        <v>1174</v>
      </c>
      <c r="E613" s="24" t="s">
        <v>759</v>
      </c>
      <c r="F613" s="29"/>
      <c r="G613" s="26">
        <f>SUM(G614)</f>
        <v>0</v>
      </c>
      <c r="H613" s="26">
        <f>SUM(H614)</f>
        <v>0</v>
      </c>
      <c r="I613" s="26" t="e">
        <f>SUM(H613/G613*100)</f>
        <v>#DIV/0!</v>
      </c>
    </row>
    <row r="614" spans="1:9" ht="16.5" customHeight="1" hidden="1">
      <c r="A614" s="297" t="s">
        <v>494</v>
      </c>
      <c r="B614" s="30"/>
      <c r="C614" s="33" t="s">
        <v>1176</v>
      </c>
      <c r="D614" s="33" t="s">
        <v>1174</v>
      </c>
      <c r="E614" s="24" t="s">
        <v>759</v>
      </c>
      <c r="F614" s="25" t="s">
        <v>142</v>
      </c>
      <c r="G614" s="54"/>
      <c r="H614" s="26"/>
      <c r="I614" s="26"/>
    </row>
    <row r="615" spans="1:9" s="85" customFormat="1" ht="15">
      <c r="A615" s="299" t="s">
        <v>704</v>
      </c>
      <c r="B615" s="23"/>
      <c r="C615" s="84" t="s">
        <v>998</v>
      </c>
      <c r="D615" s="84" t="s">
        <v>705</v>
      </c>
      <c r="E615" s="84"/>
      <c r="F615" s="49"/>
      <c r="G615" s="54">
        <f>SUM(G616)</f>
        <v>20066.699999999997</v>
      </c>
      <c r="H615" s="54" t="e">
        <f>SUM(H616+H619+#REF!+H787+H803)</f>
        <v>#REF!</v>
      </c>
      <c r="I615" s="26" t="e">
        <f t="shared" si="19"/>
        <v>#REF!</v>
      </c>
    </row>
    <row r="616" spans="1:9" ht="20.25" customHeight="1">
      <c r="A616" s="299" t="s">
        <v>340</v>
      </c>
      <c r="B616" s="23"/>
      <c r="C616" s="84" t="s">
        <v>998</v>
      </c>
      <c r="D616" s="84" t="s">
        <v>642</v>
      </c>
      <c r="E616" s="84"/>
      <c r="F616" s="49"/>
      <c r="G616" s="54">
        <f>SUM(G617)</f>
        <v>20066.699999999997</v>
      </c>
      <c r="H616" s="54" t="e">
        <f>SUM(H617)</f>
        <v>#REF!</v>
      </c>
      <c r="I616" s="26" t="e">
        <f t="shared" si="19"/>
        <v>#REF!</v>
      </c>
    </row>
    <row r="617" spans="1:9" ht="42.75">
      <c r="A617" s="287" t="s">
        <v>756</v>
      </c>
      <c r="B617" s="30"/>
      <c r="C617" s="84" t="s">
        <v>998</v>
      </c>
      <c r="D617" s="84" t="s">
        <v>642</v>
      </c>
      <c r="E617" s="24" t="s">
        <v>757</v>
      </c>
      <c r="F617" s="25"/>
      <c r="G617" s="54">
        <f>SUM(G618)</f>
        <v>20066.699999999997</v>
      </c>
      <c r="H617" s="54" t="e">
        <f>SUM(#REF!)</f>
        <v>#REF!</v>
      </c>
      <c r="I617" s="26" t="e">
        <f t="shared" si="19"/>
        <v>#REF!</v>
      </c>
    </row>
    <row r="618" spans="1:9" ht="18" customHeight="1">
      <c r="A618" s="297" t="s">
        <v>494</v>
      </c>
      <c r="B618" s="30"/>
      <c r="C618" s="84" t="s">
        <v>998</v>
      </c>
      <c r="D618" s="84" t="s">
        <v>642</v>
      </c>
      <c r="E618" s="24" t="s">
        <v>757</v>
      </c>
      <c r="F618" s="25" t="s">
        <v>142</v>
      </c>
      <c r="G618" s="54">
        <f>26486.1-5726.5-692.9</f>
        <v>20066.699999999997</v>
      </c>
      <c r="H618" s="54"/>
      <c r="I618" s="26">
        <f t="shared" si="19"/>
        <v>0</v>
      </c>
    </row>
    <row r="619" spans="1:9" ht="15">
      <c r="A619" s="299" t="s">
        <v>653</v>
      </c>
      <c r="B619" s="23"/>
      <c r="C619" s="84" t="s">
        <v>111</v>
      </c>
      <c r="D619" s="84" t="s">
        <v>705</v>
      </c>
      <c r="E619" s="84"/>
      <c r="F619" s="49"/>
      <c r="G619" s="54">
        <f aca="true" t="shared" si="20" ref="G619:H623">SUM(G620)</f>
        <v>7957.6</v>
      </c>
      <c r="H619" s="54">
        <f t="shared" si="20"/>
        <v>0</v>
      </c>
      <c r="I619" s="26">
        <f t="shared" si="19"/>
        <v>0</v>
      </c>
    </row>
    <row r="620" spans="1:9" ht="15">
      <c r="A620" s="299" t="s">
        <v>112</v>
      </c>
      <c r="B620" s="23"/>
      <c r="C620" s="84" t="s">
        <v>111</v>
      </c>
      <c r="D620" s="84" t="s">
        <v>1140</v>
      </c>
      <c r="E620" s="24"/>
      <c r="F620" s="25"/>
      <c r="G620" s="54">
        <f t="shared" si="20"/>
        <v>7957.6</v>
      </c>
      <c r="H620" s="54">
        <f t="shared" si="20"/>
        <v>0</v>
      </c>
      <c r="I620" s="26">
        <f t="shared" si="19"/>
        <v>0</v>
      </c>
    </row>
    <row r="621" spans="1:9" ht="15">
      <c r="A621" s="285" t="s">
        <v>654</v>
      </c>
      <c r="B621" s="23"/>
      <c r="C621" s="84" t="s">
        <v>111</v>
      </c>
      <c r="D621" s="84" t="s">
        <v>1140</v>
      </c>
      <c r="E621" s="24" t="s">
        <v>655</v>
      </c>
      <c r="F621" s="29"/>
      <c r="G621" s="26">
        <f>SUM(G623)</f>
        <v>7957.6</v>
      </c>
      <c r="H621" s="54">
        <f t="shared" si="20"/>
        <v>0</v>
      </c>
      <c r="I621" s="26">
        <f t="shared" si="19"/>
        <v>0</v>
      </c>
    </row>
    <row r="622" spans="1:9" ht="15">
      <c r="A622" s="285" t="s">
        <v>656</v>
      </c>
      <c r="B622" s="23"/>
      <c r="C622" s="84" t="s">
        <v>111</v>
      </c>
      <c r="D622" s="84" t="s">
        <v>1140</v>
      </c>
      <c r="E622" s="24" t="s">
        <v>657</v>
      </c>
      <c r="F622" s="29"/>
      <c r="G622" s="26">
        <f>SUM(G623)</f>
        <v>7957.6</v>
      </c>
      <c r="H622" s="54">
        <f t="shared" si="20"/>
        <v>0</v>
      </c>
      <c r="I622" s="26">
        <f t="shared" si="19"/>
        <v>0</v>
      </c>
    </row>
    <row r="623" spans="1:9" ht="19.5" customHeight="1">
      <c r="A623" s="285" t="s">
        <v>658</v>
      </c>
      <c r="B623" s="23"/>
      <c r="C623" s="84" t="s">
        <v>111</v>
      </c>
      <c r="D623" s="84" t="s">
        <v>1140</v>
      </c>
      <c r="E623" s="24" t="s">
        <v>657</v>
      </c>
      <c r="F623" s="29" t="s">
        <v>659</v>
      </c>
      <c r="G623" s="26">
        <f>10168.5-2210.9</f>
        <v>7957.6</v>
      </c>
      <c r="H623" s="54">
        <f t="shared" si="20"/>
        <v>0</v>
      </c>
      <c r="I623" s="26">
        <f t="shared" si="19"/>
        <v>0</v>
      </c>
    </row>
    <row r="624" spans="1:9" ht="20.25" customHeight="1" hidden="1">
      <c r="A624" s="297" t="s">
        <v>141</v>
      </c>
      <c r="B624" s="168"/>
      <c r="C624" s="166" t="s">
        <v>998</v>
      </c>
      <c r="D624" s="166" t="s">
        <v>642</v>
      </c>
      <c r="E624" s="57" t="s">
        <v>348</v>
      </c>
      <c r="F624" s="29" t="s">
        <v>142</v>
      </c>
      <c r="G624" s="54"/>
      <c r="H624" s="54"/>
      <c r="I624" s="26" t="e">
        <f t="shared" si="19"/>
        <v>#DIV/0!</v>
      </c>
    </row>
    <row r="625" spans="1:9" ht="30.75" customHeight="1">
      <c r="A625" s="298" t="s">
        <v>864</v>
      </c>
      <c r="B625" s="96" t="s">
        <v>865</v>
      </c>
      <c r="C625" s="46"/>
      <c r="D625" s="94"/>
      <c r="E625" s="94"/>
      <c r="F625" s="95"/>
      <c r="G625" s="161">
        <f>SUM(G626+G643+G648+G654+G659+G664+G700+G715+G738)</f>
        <v>827416.0999999999</v>
      </c>
      <c r="H625" s="161" t="e">
        <f>SUM(H664+H738)+H626+H648</f>
        <v>#REF!</v>
      </c>
      <c r="I625" s="45" t="e">
        <f t="shared" si="19"/>
        <v>#REF!</v>
      </c>
    </row>
    <row r="626" spans="1:9" ht="15">
      <c r="A626" s="285" t="s">
        <v>1139</v>
      </c>
      <c r="B626" s="23"/>
      <c r="C626" s="24" t="s">
        <v>1140</v>
      </c>
      <c r="D626" s="24"/>
      <c r="E626" s="24"/>
      <c r="F626" s="25"/>
      <c r="G626" s="26">
        <f>SUM(G627)+G631+G635+G639</f>
        <v>160.50000000000003</v>
      </c>
      <c r="H626" s="26" t="e">
        <f>SUM(#REF!)</f>
        <v>#REF!</v>
      </c>
      <c r="I626" s="26" t="e">
        <f t="shared" si="19"/>
        <v>#REF!</v>
      </c>
    </row>
    <row r="627" spans="1:9" ht="44.25" customHeight="1">
      <c r="A627" s="285" t="s">
        <v>1149</v>
      </c>
      <c r="B627" s="23"/>
      <c r="C627" s="24" t="s">
        <v>1140</v>
      </c>
      <c r="D627" s="24" t="s">
        <v>1150</v>
      </c>
      <c r="E627" s="24"/>
      <c r="F627" s="25"/>
      <c r="G627" s="26">
        <f>SUM(G628)</f>
        <v>2.3</v>
      </c>
      <c r="H627" s="26" t="e">
        <f>SUM(H628)</f>
        <v>#REF!</v>
      </c>
      <c r="I627" s="26" t="e">
        <f aca="true" t="shared" si="21" ref="I627:I640">SUM(H627/G627*100)</f>
        <v>#REF!</v>
      </c>
    </row>
    <row r="628" spans="1:9" ht="42.75" customHeight="1">
      <c r="A628" s="285" t="s">
        <v>1143</v>
      </c>
      <c r="B628" s="23"/>
      <c r="C628" s="24" t="s">
        <v>1140</v>
      </c>
      <c r="D628" s="24" t="s">
        <v>1150</v>
      </c>
      <c r="E628" s="24" t="s">
        <v>1144</v>
      </c>
      <c r="F628" s="28"/>
      <c r="G628" s="26">
        <f>SUM(G629)</f>
        <v>2.3</v>
      </c>
      <c r="H628" s="26" t="e">
        <f>SUM(H629+H631)</f>
        <v>#REF!</v>
      </c>
      <c r="I628" s="26" t="e">
        <f t="shared" si="21"/>
        <v>#REF!</v>
      </c>
    </row>
    <row r="629" spans="1:9" ht="15">
      <c r="A629" s="285" t="s">
        <v>1151</v>
      </c>
      <c r="B629" s="23"/>
      <c r="C629" s="24" t="s">
        <v>1152</v>
      </c>
      <c r="D629" s="24" t="s">
        <v>1150</v>
      </c>
      <c r="E629" s="24" t="s">
        <v>1153</v>
      </c>
      <c r="F629" s="28"/>
      <c r="G629" s="26">
        <f>SUM(G630)</f>
        <v>2.3</v>
      </c>
      <c r="H629" s="26">
        <f>SUM(H630)</f>
        <v>8068.7</v>
      </c>
      <c r="I629" s="26">
        <f t="shared" si="21"/>
        <v>350813.0434782609</v>
      </c>
    </row>
    <row r="630" spans="1:9" ht="30.75" customHeight="1">
      <c r="A630" s="285" t="s">
        <v>1147</v>
      </c>
      <c r="B630" s="23"/>
      <c r="C630" s="24" t="s">
        <v>1140</v>
      </c>
      <c r="D630" s="24" t="s">
        <v>1150</v>
      </c>
      <c r="E630" s="24" t="s">
        <v>1153</v>
      </c>
      <c r="F630" s="25" t="s">
        <v>1148</v>
      </c>
      <c r="G630" s="26">
        <v>2.3</v>
      </c>
      <c r="H630" s="26">
        <v>8068.7</v>
      </c>
      <c r="I630" s="26">
        <f t="shared" si="21"/>
        <v>350813.0434782609</v>
      </c>
    </row>
    <row r="631" spans="1:9" ht="36" customHeight="1">
      <c r="A631" s="285" t="s">
        <v>1179</v>
      </c>
      <c r="B631" s="23"/>
      <c r="C631" s="24" t="s">
        <v>1140</v>
      </c>
      <c r="D631" s="24" t="s">
        <v>1174</v>
      </c>
      <c r="E631" s="24"/>
      <c r="F631" s="25"/>
      <c r="G631" s="26">
        <f>SUM(G632)</f>
        <v>128.3</v>
      </c>
      <c r="H631" s="26" t="e">
        <f>SUM(H632)+H649+#REF!</f>
        <v>#REF!</v>
      </c>
      <c r="I631" s="26" t="e">
        <f t="shared" si="21"/>
        <v>#REF!</v>
      </c>
    </row>
    <row r="632" spans="1:9" ht="36" customHeight="1">
      <c r="A632" s="285" t="s">
        <v>1143</v>
      </c>
      <c r="B632" s="23"/>
      <c r="C632" s="24" t="s">
        <v>1140</v>
      </c>
      <c r="D632" s="24" t="s">
        <v>1174</v>
      </c>
      <c r="E632" s="24" t="s">
        <v>1144</v>
      </c>
      <c r="F632" s="28"/>
      <c r="G632" s="26">
        <f>SUM(G633)</f>
        <v>128.3</v>
      </c>
      <c r="H632" s="26" t="e">
        <f>SUM(H633+#REF!)</f>
        <v>#REF!</v>
      </c>
      <c r="I632" s="26" t="e">
        <f t="shared" si="21"/>
        <v>#REF!</v>
      </c>
    </row>
    <row r="633" spans="1:9" ht="15">
      <c r="A633" s="285" t="s">
        <v>1151</v>
      </c>
      <c r="B633" s="23"/>
      <c r="C633" s="24" t="s">
        <v>1140</v>
      </c>
      <c r="D633" s="24" t="s">
        <v>1174</v>
      </c>
      <c r="E633" s="24" t="s">
        <v>1153</v>
      </c>
      <c r="F633" s="28"/>
      <c r="G633" s="26">
        <f>SUM(G634)</f>
        <v>128.3</v>
      </c>
      <c r="H633" s="26" t="e">
        <f>SUM(H634:H634+H635+H637+#REF!)+H636</f>
        <v>#REF!</v>
      </c>
      <c r="I633" s="26" t="e">
        <f t="shared" si="21"/>
        <v>#REF!</v>
      </c>
    </row>
    <row r="634" spans="1:9" ht="15">
      <c r="A634" s="285" t="s">
        <v>1147</v>
      </c>
      <c r="B634" s="23"/>
      <c r="C634" s="24" t="s">
        <v>1140</v>
      </c>
      <c r="D634" s="24" t="s">
        <v>1174</v>
      </c>
      <c r="E634" s="24" t="s">
        <v>1153</v>
      </c>
      <c r="F634" s="25" t="s">
        <v>1148</v>
      </c>
      <c r="G634" s="26">
        <v>128.3</v>
      </c>
      <c r="H634" s="26">
        <v>50612.1</v>
      </c>
      <c r="I634" s="26">
        <f t="shared" si="21"/>
        <v>39448.246297739664</v>
      </c>
    </row>
    <row r="635" spans="1:9" s="31" customFormat="1" ht="28.5">
      <c r="A635" s="285" t="s">
        <v>641</v>
      </c>
      <c r="B635" s="23"/>
      <c r="C635" s="24" t="s">
        <v>1140</v>
      </c>
      <c r="D635" s="24" t="s">
        <v>642</v>
      </c>
      <c r="E635" s="24"/>
      <c r="F635" s="25"/>
      <c r="G635" s="26">
        <f>SUM(G636)</f>
        <v>6.9</v>
      </c>
      <c r="H635" s="26" t="e">
        <f>SUM(H636)</f>
        <v>#REF!</v>
      </c>
      <c r="I635" s="26" t="e">
        <f t="shared" si="21"/>
        <v>#REF!</v>
      </c>
    </row>
    <row r="636" spans="1:9" s="31" customFormat="1" ht="36.75" customHeight="1">
      <c r="A636" s="285" t="s">
        <v>1143</v>
      </c>
      <c r="B636" s="23"/>
      <c r="C636" s="24" t="s">
        <v>1140</v>
      </c>
      <c r="D636" s="24" t="s">
        <v>642</v>
      </c>
      <c r="E636" s="24" t="s">
        <v>1144</v>
      </c>
      <c r="F636" s="25"/>
      <c r="G636" s="26">
        <f>SUM(G637)</f>
        <v>6.9</v>
      </c>
      <c r="H636" s="26" t="e">
        <f>SUM(H637+#REF!)</f>
        <v>#REF!</v>
      </c>
      <c r="I636" s="26" t="e">
        <f t="shared" si="21"/>
        <v>#REF!</v>
      </c>
    </row>
    <row r="637" spans="1:9" s="31" customFormat="1" ht="15" customHeight="1">
      <c r="A637" s="285" t="s">
        <v>1151</v>
      </c>
      <c r="B637" s="23"/>
      <c r="C637" s="24" t="s">
        <v>1140</v>
      </c>
      <c r="D637" s="24" t="s">
        <v>642</v>
      </c>
      <c r="E637" s="24" t="s">
        <v>1153</v>
      </c>
      <c r="F637" s="25"/>
      <c r="G637" s="26">
        <f>SUM(G638)</f>
        <v>6.9</v>
      </c>
      <c r="H637" s="26" t="e">
        <f>SUM(H638+#REF!)</f>
        <v>#REF!</v>
      </c>
      <c r="I637" s="26" t="e">
        <f t="shared" si="21"/>
        <v>#REF!</v>
      </c>
    </row>
    <row r="638" spans="1:9" s="31" customFormat="1" ht="14.25" customHeight="1">
      <c r="A638" s="285" t="s">
        <v>1147</v>
      </c>
      <c r="B638" s="23"/>
      <c r="C638" s="24" t="s">
        <v>1152</v>
      </c>
      <c r="D638" s="24" t="s">
        <v>642</v>
      </c>
      <c r="E638" s="24" t="s">
        <v>1153</v>
      </c>
      <c r="F638" s="29" t="s">
        <v>1148</v>
      </c>
      <c r="G638" s="26">
        <v>6.9</v>
      </c>
      <c r="H638" s="26">
        <v>2278</v>
      </c>
      <c r="I638" s="26">
        <f t="shared" si="21"/>
        <v>33014.492753623184</v>
      </c>
    </row>
    <row r="639" spans="1:9" ht="16.5" customHeight="1">
      <c r="A639" s="285" t="s">
        <v>1156</v>
      </c>
      <c r="B639" s="23"/>
      <c r="C639" s="24" t="s">
        <v>1140</v>
      </c>
      <c r="D639" s="24" t="s">
        <v>111</v>
      </c>
      <c r="E639" s="24"/>
      <c r="F639" s="28"/>
      <c r="G639" s="26">
        <f>SUM(G640)</f>
        <v>23</v>
      </c>
      <c r="H639" s="26" t="e">
        <f>SUM(H640+H653+H676+H679+H682+H743+#REF!+H650)</f>
        <v>#REF!</v>
      </c>
      <c r="I639" s="26" t="e">
        <f t="shared" si="21"/>
        <v>#REF!</v>
      </c>
    </row>
    <row r="640" spans="1:9" ht="31.5" customHeight="1">
      <c r="A640" s="291" t="s">
        <v>1178</v>
      </c>
      <c r="B640" s="23"/>
      <c r="C640" s="24" t="s">
        <v>1140</v>
      </c>
      <c r="D640" s="24" t="s">
        <v>111</v>
      </c>
      <c r="E640" s="37" t="s">
        <v>200</v>
      </c>
      <c r="F640" s="28"/>
      <c r="G640" s="26">
        <f>SUM(G641)</f>
        <v>23</v>
      </c>
      <c r="H640" s="26" t="e">
        <f>SUM(#REF!)</f>
        <v>#REF!</v>
      </c>
      <c r="I640" s="26" t="e">
        <f t="shared" si="21"/>
        <v>#REF!</v>
      </c>
    </row>
    <row r="641" spans="1:9" ht="31.5" customHeight="1">
      <c r="A641" s="285" t="s">
        <v>493</v>
      </c>
      <c r="B641" s="23"/>
      <c r="C641" s="24" t="s">
        <v>1140</v>
      </c>
      <c r="D641" s="24" t="s">
        <v>111</v>
      </c>
      <c r="E641" s="37" t="s">
        <v>201</v>
      </c>
      <c r="F641" s="28"/>
      <c r="G641" s="26">
        <f>SUM(G642)</f>
        <v>23</v>
      </c>
      <c r="H641" s="26"/>
      <c r="I641" s="26"/>
    </row>
    <row r="642" spans="1:9" ht="25.5" customHeight="1">
      <c r="A642" s="291" t="s">
        <v>494</v>
      </c>
      <c r="B642" s="23"/>
      <c r="C642" s="24" t="s">
        <v>1140</v>
      </c>
      <c r="D642" s="24" t="s">
        <v>111</v>
      </c>
      <c r="E642" s="37" t="s">
        <v>201</v>
      </c>
      <c r="F642" s="28" t="s">
        <v>142</v>
      </c>
      <c r="G642" s="26">
        <v>23</v>
      </c>
      <c r="H642" s="26"/>
      <c r="I642" s="26"/>
    </row>
    <row r="643" spans="1:9" ht="21" customHeight="1">
      <c r="A643" s="285" t="s">
        <v>206</v>
      </c>
      <c r="B643" s="23"/>
      <c r="C643" s="37" t="s">
        <v>1150</v>
      </c>
      <c r="D643" s="37"/>
      <c r="E643" s="37"/>
      <c r="F643" s="28"/>
      <c r="G643" s="26">
        <f>SUM(G644)</f>
        <v>78.2</v>
      </c>
      <c r="H643" s="26" t="e">
        <f>SUM(#REF!)+H645+H687</f>
        <v>#REF!</v>
      </c>
      <c r="I643" s="26" t="e">
        <f>SUM(H643/G643*100)</f>
        <v>#REF!</v>
      </c>
    </row>
    <row r="644" spans="1:9" ht="36" customHeight="1">
      <c r="A644" s="287" t="s">
        <v>970</v>
      </c>
      <c r="B644" s="23"/>
      <c r="C644" s="37" t="s">
        <v>1150</v>
      </c>
      <c r="D644" s="37" t="s">
        <v>971</v>
      </c>
      <c r="E644" s="37"/>
      <c r="F644" s="28"/>
      <c r="G644" s="26">
        <f>SUM(G645)</f>
        <v>78.2</v>
      </c>
      <c r="H644" s="26" t="e">
        <f>SUM(#REF!+H651+H664+H677)+H646</f>
        <v>#REF!</v>
      </c>
      <c r="I644" s="26" t="e">
        <f>SUM(H644/G644*100)</f>
        <v>#REF!</v>
      </c>
    </row>
    <row r="645" spans="1:9" ht="28.5">
      <c r="A645" s="285" t="s">
        <v>495</v>
      </c>
      <c r="B645" s="23"/>
      <c r="C645" s="37" t="s">
        <v>1150</v>
      </c>
      <c r="D645" s="37" t="s">
        <v>971</v>
      </c>
      <c r="E645" s="37" t="s">
        <v>988</v>
      </c>
      <c r="F645" s="28"/>
      <c r="G645" s="26">
        <f>SUM(G646)</f>
        <v>78.2</v>
      </c>
      <c r="H645" s="26">
        <f>SUM(H646)</f>
        <v>5387.8</v>
      </c>
      <c r="I645" s="26">
        <f>SUM(H645/G645*100)</f>
        <v>6889.769820971867</v>
      </c>
    </row>
    <row r="646" spans="1:9" ht="28.5">
      <c r="A646" s="285" t="s">
        <v>493</v>
      </c>
      <c r="B646" s="23"/>
      <c r="C646" s="37" t="s">
        <v>1150</v>
      </c>
      <c r="D646" s="37" t="s">
        <v>971</v>
      </c>
      <c r="E646" s="37" t="s">
        <v>989</v>
      </c>
      <c r="F646" s="28"/>
      <c r="G646" s="26">
        <f>SUM(G647)</f>
        <v>78.2</v>
      </c>
      <c r="H646" s="26">
        <f>SUM(H647)</f>
        <v>5387.8</v>
      </c>
      <c r="I646" s="26">
        <f>SUM(H646/G646*100)</f>
        <v>6889.769820971867</v>
      </c>
    </row>
    <row r="647" spans="1:9" ht="18" customHeight="1">
      <c r="A647" s="297" t="s">
        <v>494</v>
      </c>
      <c r="B647" s="56"/>
      <c r="C647" s="57" t="s">
        <v>1150</v>
      </c>
      <c r="D647" s="57" t="s">
        <v>971</v>
      </c>
      <c r="E647" s="57" t="s">
        <v>989</v>
      </c>
      <c r="F647" s="29" t="s">
        <v>142</v>
      </c>
      <c r="G647" s="26">
        <v>78.2</v>
      </c>
      <c r="H647" s="26">
        <v>5387.8</v>
      </c>
      <c r="I647" s="26">
        <f>SUM(H647/G647*100)</f>
        <v>6889.769820971867</v>
      </c>
    </row>
    <row r="648" spans="1:9" ht="18.75" customHeight="1">
      <c r="A648" s="299" t="s">
        <v>1173</v>
      </c>
      <c r="B648" s="32"/>
      <c r="C648" s="84" t="s">
        <v>1174</v>
      </c>
      <c r="D648" s="84"/>
      <c r="E648" s="84"/>
      <c r="F648" s="49"/>
      <c r="G648" s="54">
        <f>SUM(G649)</f>
        <v>2845</v>
      </c>
      <c r="H648" s="54">
        <f>SUM(H649)</f>
        <v>2581.7</v>
      </c>
      <c r="I648" s="26">
        <f t="shared" si="19"/>
        <v>90.7451669595782</v>
      </c>
    </row>
    <row r="649" spans="1:9" ht="18" customHeight="1">
      <c r="A649" s="285" t="s">
        <v>1175</v>
      </c>
      <c r="B649" s="23"/>
      <c r="C649" s="24" t="s">
        <v>1174</v>
      </c>
      <c r="D649" s="24" t="s">
        <v>1176</v>
      </c>
      <c r="E649" s="24"/>
      <c r="F649" s="25"/>
      <c r="G649" s="26">
        <f>SUM(G650)</f>
        <v>2845</v>
      </c>
      <c r="H649" s="26">
        <f>SUM(H650)</f>
        <v>2581.7</v>
      </c>
      <c r="I649" s="26">
        <f t="shared" si="19"/>
        <v>90.7451669595782</v>
      </c>
    </row>
    <row r="650" spans="1:9" ht="28.5" customHeight="1">
      <c r="A650" s="285" t="s">
        <v>999</v>
      </c>
      <c r="B650" s="23"/>
      <c r="C650" s="24" t="s">
        <v>1174</v>
      </c>
      <c r="D650" s="24" t="s">
        <v>1176</v>
      </c>
      <c r="E650" s="37" t="s">
        <v>1000</v>
      </c>
      <c r="F650" s="28"/>
      <c r="G650" s="26">
        <f>SUM(G651+G652)</f>
        <v>2845</v>
      </c>
      <c r="H650" s="26">
        <f>SUM(H651+H652)</f>
        <v>2581.7</v>
      </c>
      <c r="I650" s="26">
        <f t="shared" si="19"/>
        <v>90.7451669595782</v>
      </c>
    </row>
    <row r="651" spans="1:9" ht="17.25" customHeight="1">
      <c r="A651" s="285" t="s">
        <v>1001</v>
      </c>
      <c r="B651" s="23"/>
      <c r="C651" s="24" t="s">
        <v>1174</v>
      </c>
      <c r="D651" s="24" t="s">
        <v>1176</v>
      </c>
      <c r="E651" s="37" t="s">
        <v>1000</v>
      </c>
      <c r="F651" s="25" t="s">
        <v>1002</v>
      </c>
      <c r="G651" s="26">
        <v>2845</v>
      </c>
      <c r="H651" s="26">
        <v>1711.3</v>
      </c>
      <c r="I651" s="26">
        <f t="shared" si="19"/>
        <v>60.151142355008794</v>
      </c>
    </row>
    <row r="652" spans="1:9" ht="87.75" customHeight="1" hidden="1">
      <c r="A652" s="344" t="s">
        <v>1074</v>
      </c>
      <c r="B652" s="23"/>
      <c r="C652" s="24" t="s">
        <v>1174</v>
      </c>
      <c r="D652" s="24" t="s">
        <v>1176</v>
      </c>
      <c r="E652" s="37" t="s">
        <v>1075</v>
      </c>
      <c r="F652" s="28"/>
      <c r="G652" s="26">
        <f>SUM(G653)</f>
        <v>0</v>
      </c>
      <c r="H652" s="26">
        <f>SUM(H653)</f>
        <v>870.4</v>
      </c>
      <c r="I652" s="26" t="e">
        <f aca="true" t="shared" si="22" ref="I652:I699">SUM(H652/G652*100)</f>
        <v>#DIV/0!</v>
      </c>
    </row>
    <row r="653" spans="1:9" ht="16.5" customHeight="1" hidden="1">
      <c r="A653" s="285" t="s">
        <v>1001</v>
      </c>
      <c r="B653" s="23"/>
      <c r="C653" s="24" t="s">
        <v>1174</v>
      </c>
      <c r="D653" s="24" t="s">
        <v>1176</v>
      </c>
      <c r="E653" s="37" t="s">
        <v>1075</v>
      </c>
      <c r="F653" s="28" t="s">
        <v>1002</v>
      </c>
      <c r="G653" s="26"/>
      <c r="H653" s="26">
        <v>870.4</v>
      </c>
      <c r="I653" s="26" t="e">
        <f t="shared" si="22"/>
        <v>#DIV/0!</v>
      </c>
    </row>
    <row r="654" spans="1:9" s="58" customFormat="1" ht="18" customHeight="1">
      <c r="A654" s="291" t="s">
        <v>1086</v>
      </c>
      <c r="B654" s="36"/>
      <c r="C654" s="37" t="s">
        <v>1190</v>
      </c>
      <c r="D654" s="37"/>
      <c r="E654" s="37"/>
      <c r="F654" s="29"/>
      <c r="G654" s="26">
        <f>SUM(G655)</f>
        <v>6.9</v>
      </c>
      <c r="H654" s="164" t="e">
        <f>SUM(H655+H767+H794+H821)</f>
        <v>#REF!</v>
      </c>
      <c r="I654" s="26" t="e">
        <f t="shared" si="22"/>
        <v>#REF!</v>
      </c>
    </row>
    <row r="655" spans="1:9" ht="15">
      <c r="A655" s="292" t="s">
        <v>257</v>
      </c>
      <c r="B655" s="23"/>
      <c r="C655" s="37" t="s">
        <v>1190</v>
      </c>
      <c r="D655" s="37" t="s">
        <v>1190</v>
      </c>
      <c r="E655" s="37"/>
      <c r="F655" s="29"/>
      <c r="G655" s="26">
        <f>SUM(G656)</f>
        <v>6.9</v>
      </c>
      <c r="H655" s="26" t="e">
        <f>SUM(H656+#REF!+H696+H677)+H688</f>
        <v>#REF!</v>
      </c>
      <c r="I655" s="26" t="e">
        <f t="shared" si="22"/>
        <v>#REF!</v>
      </c>
    </row>
    <row r="656" spans="1:9" s="39" customFormat="1" ht="41.25" customHeight="1">
      <c r="A656" s="285" t="s">
        <v>1143</v>
      </c>
      <c r="B656" s="36"/>
      <c r="C656" s="37" t="s">
        <v>1190</v>
      </c>
      <c r="D656" s="37" t="s">
        <v>1190</v>
      </c>
      <c r="E656" s="24" t="s">
        <v>1144</v>
      </c>
      <c r="F656" s="28"/>
      <c r="G656" s="26">
        <f>SUM(G657)</f>
        <v>6.9</v>
      </c>
      <c r="H656" s="26">
        <f>SUM(H657+H664)</f>
        <v>25782.3</v>
      </c>
      <c r="I656" s="26">
        <f t="shared" si="22"/>
        <v>373656.5217391304</v>
      </c>
    </row>
    <row r="657" spans="1:9" s="39" customFormat="1" ht="21" customHeight="1">
      <c r="A657" s="285" t="s">
        <v>1151</v>
      </c>
      <c r="B657" s="36"/>
      <c r="C657" s="37" t="s">
        <v>1190</v>
      </c>
      <c r="D657" s="37" t="s">
        <v>1190</v>
      </c>
      <c r="E657" s="24" t="s">
        <v>1153</v>
      </c>
      <c r="F657" s="28"/>
      <c r="G657" s="26">
        <f>SUM(G658)</f>
        <v>6.9</v>
      </c>
      <c r="H657" s="26">
        <f>SUM(H658)</f>
        <v>0</v>
      </c>
      <c r="I657" s="26">
        <f t="shared" si="22"/>
        <v>0</v>
      </c>
    </row>
    <row r="658" spans="1:9" s="39" customFormat="1" ht="30" customHeight="1">
      <c r="A658" s="285" t="s">
        <v>1147</v>
      </c>
      <c r="B658" s="36"/>
      <c r="C658" s="37" t="s">
        <v>1190</v>
      </c>
      <c r="D658" s="37" t="s">
        <v>1190</v>
      </c>
      <c r="E658" s="24" t="s">
        <v>1153</v>
      </c>
      <c r="F658" s="28" t="s">
        <v>1148</v>
      </c>
      <c r="G658" s="26">
        <v>6.9</v>
      </c>
      <c r="H658" s="26"/>
      <c r="I658" s="26">
        <f t="shared" si="22"/>
        <v>0</v>
      </c>
    </row>
    <row r="659" spans="1:9" ht="26.25" customHeight="1">
      <c r="A659" s="285" t="s">
        <v>276</v>
      </c>
      <c r="B659" s="23"/>
      <c r="C659" s="24" t="s">
        <v>642</v>
      </c>
      <c r="D659" s="24"/>
      <c r="E659" s="24"/>
      <c r="F659" s="25"/>
      <c r="G659" s="26">
        <f>SUM(G662)</f>
        <v>27.6</v>
      </c>
      <c r="H659" s="26">
        <f>SUM(H660)+H664</f>
        <v>27982</v>
      </c>
      <c r="I659" s="26">
        <f t="shared" si="22"/>
        <v>101384.05797101448</v>
      </c>
    </row>
    <row r="660" spans="1:9" ht="31.5" customHeight="1">
      <c r="A660" s="285" t="s">
        <v>277</v>
      </c>
      <c r="B660" s="23"/>
      <c r="C660" s="24" t="s">
        <v>642</v>
      </c>
      <c r="D660" s="24" t="s">
        <v>1150</v>
      </c>
      <c r="E660" s="24"/>
      <c r="F660" s="25"/>
      <c r="G660" s="26">
        <f>SUM(G663)</f>
        <v>27.6</v>
      </c>
      <c r="H660" s="26">
        <f>SUM(H663)</f>
        <v>2199.7</v>
      </c>
      <c r="I660" s="26">
        <f t="shared" si="22"/>
        <v>7969.927536231883</v>
      </c>
    </row>
    <row r="661" spans="1:9" ht="15.75" customHeight="1">
      <c r="A661" s="285" t="s">
        <v>278</v>
      </c>
      <c r="B661" s="23"/>
      <c r="C661" s="24" t="s">
        <v>642</v>
      </c>
      <c r="D661" s="24" t="s">
        <v>1150</v>
      </c>
      <c r="E661" s="24" t="s">
        <v>279</v>
      </c>
      <c r="F661" s="25"/>
      <c r="G661" s="26">
        <f>SUM(G662)</f>
        <v>27.6</v>
      </c>
      <c r="H661" s="26">
        <f>SUM(H662)</f>
        <v>2199.7</v>
      </c>
      <c r="I661" s="26">
        <f t="shared" si="22"/>
        <v>7969.927536231883</v>
      </c>
    </row>
    <row r="662" spans="1:9" ht="28.5">
      <c r="A662" s="285" t="s">
        <v>493</v>
      </c>
      <c r="B662" s="83"/>
      <c r="C662" s="57" t="s">
        <v>642</v>
      </c>
      <c r="D662" s="57" t="s">
        <v>1150</v>
      </c>
      <c r="E662" s="57" t="s">
        <v>280</v>
      </c>
      <c r="F662" s="29"/>
      <c r="G662" s="26">
        <f>SUM(G663)</f>
        <v>27.6</v>
      </c>
      <c r="H662" s="26">
        <f>SUM(H663)</f>
        <v>2199.7</v>
      </c>
      <c r="I662" s="26">
        <f t="shared" si="22"/>
        <v>7969.927536231883</v>
      </c>
    </row>
    <row r="663" spans="1:9" ht="21.75" customHeight="1">
      <c r="A663" s="297" t="s">
        <v>494</v>
      </c>
      <c r="B663" s="23"/>
      <c r="C663" s="24" t="s">
        <v>642</v>
      </c>
      <c r="D663" s="24" t="s">
        <v>1150</v>
      </c>
      <c r="E663" s="57" t="s">
        <v>280</v>
      </c>
      <c r="F663" s="29" t="s">
        <v>142</v>
      </c>
      <c r="G663" s="26">
        <v>27.6</v>
      </c>
      <c r="H663" s="26">
        <v>2199.7</v>
      </c>
      <c r="I663" s="26">
        <f t="shared" si="22"/>
        <v>7969.927536231883</v>
      </c>
    </row>
    <row r="664" spans="1:9" ht="15">
      <c r="A664" s="299" t="s">
        <v>1162</v>
      </c>
      <c r="B664" s="23"/>
      <c r="C664" s="84" t="s">
        <v>1163</v>
      </c>
      <c r="D664" s="84"/>
      <c r="E664" s="84"/>
      <c r="F664" s="49"/>
      <c r="G664" s="54">
        <f>SUM(G665+G669+G686)+G690</f>
        <v>60993.1</v>
      </c>
      <c r="H664" s="54">
        <f>SUM(H669)+H686+H697</f>
        <v>25782.3</v>
      </c>
      <c r="I664" s="26">
        <f t="shared" si="22"/>
        <v>42.270847030237846</v>
      </c>
    </row>
    <row r="665" spans="1:9" ht="20.25" customHeight="1">
      <c r="A665" s="285" t="s">
        <v>547</v>
      </c>
      <c r="B665" s="96"/>
      <c r="C665" s="37" t="s">
        <v>1163</v>
      </c>
      <c r="D665" s="37" t="s">
        <v>1140</v>
      </c>
      <c r="E665" s="37"/>
      <c r="F665" s="28"/>
      <c r="G665" s="26">
        <f>SUM(G666+G744)</f>
        <v>5427.9</v>
      </c>
      <c r="H665" s="26">
        <f>SUM(H676+H741)</f>
        <v>26866</v>
      </c>
      <c r="I665" s="26">
        <f t="shared" si="22"/>
        <v>494.96121888759933</v>
      </c>
    </row>
    <row r="666" spans="1:9" ht="21" customHeight="1">
      <c r="A666" s="285" t="s">
        <v>548</v>
      </c>
      <c r="B666" s="96"/>
      <c r="C666" s="37" t="s">
        <v>1163</v>
      </c>
      <c r="D666" s="37" t="s">
        <v>1140</v>
      </c>
      <c r="E666" s="37" t="s">
        <v>549</v>
      </c>
      <c r="F666" s="28"/>
      <c r="G666" s="26">
        <f>SUM(G667)</f>
        <v>5427.9</v>
      </c>
      <c r="H666" s="26">
        <f>SUM(H667)</f>
        <v>213206.5</v>
      </c>
      <c r="I666" s="26">
        <f>SUM(H666/G666*100)</f>
        <v>3927.9739862561955</v>
      </c>
    </row>
    <row r="667" spans="1:9" ht="28.5">
      <c r="A667" s="285" t="s">
        <v>493</v>
      </c>
      <c r="B667" s="96"/>
      <c r="C667" s="37" t="s">
        <v>1163</v>
      </c>
      <c r="D667" s="37" t="s">
        <v>1140</v>
      </c>
      <c r="E667" s="37" t="s">
        <v>550</v>
      </c>
      <c r="F667" s="28"/>
      <c r="G667" s="26">
        <f>SUM(G668)</f>
        <v>5427.9</v>
      </c>
      <c r="H667" s="26">
        <f>SUM(H668+H680+H689+H695)+H677</f>
        <v>213206.5</v>
      </c>
      <c r="I667" s="26">
        <f>SUM(H667/G667*100)</f>
        <v>3927.9739862561955</v>
      </c>
    </row>
    <row r="668" spans="1:9" ht="18.75" customHeight="1">
      <c r="A668" s="297" t="s">
        <v>494</v>
      </c>
      <c r="B668" s="56"/>
      <c r="C668" s="57" t="s">
        <v>1163</v>
      </c>
      <c r="D668" s="57" t="s">
        <v>1140</v>
      </c>
      <c r="E668" s="57" t="s">
        <v>550</v>
      </c>
      <c r="F668" s="29" t="s">
        <v>142</v>
      </c>
      <c r="G668" s="26">
        <v>5427.9</v>
      </c>
      <c r="H668" s="26">
        <v>187516.5</v>
      </c>
      <c r="I668" s="26">
        <f>SUM(H668/G668*100)</f>
        <v>3454.6786049853536</v>
      </c>
    </row>
    <row r="669" spans="1:9" ht="15">
      <c r="A669" s="285" t="s">
        <v>565</v>
      </c>
      <c r="B669" s="23"/>
      <c r="C669" s="37" t="s">
        <v>1163</v>
      </c>
      <c r="D669" s="37" t="s">
        <v>1142</v>
      </c>
      <c r="E669" s="84"/>
      <c r="F669" s="49"/>
      <c r="G669" s="26">
        <f>SUM(G670+G673+G676+G683)</f>
        <v>55247.9</v>
      </c>
      <c r="H669" s="26">
        <f>SUM(H676)</f>
        <v>25662.5</v>
      </c>
      <c r="I669" s="26">
        <f t="shared" si="22"/>
        <v>46.449729310978334</v>
      </c>
    </row>
    <row r="670" spans="1:9" ht="26.25" customHeight="1">
      <c r="A670" s="285" t="s">
        <v>568</v>
      </c>
      <c r="B670" s="96"/>
      <c r="C670" s="37" t="s">
        <v>1163</v>
      </c>
      <c r="D670" s="37" t="s">
        <v>1142</v>
      </c>
      <c r="E670" s="37" t="s">
        <v>569</v>
      </c>
      <c r="F670" s="28"/>
      <c r="G670" s="26">
        <f>SUM(G671)</f>
        <v>4294.5</v>
      </c>
      <c r="H670" s="26">
        <f>SUM(H686)</f>
        <v>0</v>
      </c>
      <c r="I670" s="26">
        <f t="shared" si="22"/>
        <v>0</v>
      </c>
    </row>
    <row r="671" spans="1:9" ht="37.5" customHeight="1">
      <c r="A671" s="285" t="s">
        <v>493</v>
      </c>
      <c r="B671" s="96"/>
      <c r="C671" s="37" t="s">
        <v>1163</v>
      </c>
      <c r="D671" s="37" t="s">
        <v>1142</v>
      </c>
      <c r="E671" s="37" t="s">
        <v>570</v>
      </c>
      <c r="F671" s="28"/>
      <c r="G671" s="26">
        <f>SUM(G672)</f>
        <v>4294.5</v>
      </c>
      <c r="H671" s="26">
        <f>SUM(H672+H682+H687+H698)+H689+H676+H680+H696</f>
        <v>104563.7</v>
      </c>
      <c r="I671" s="26">
        <f>SUM(H671/G671*100)</f>
        <v>2434.8282687157994</v>
      </c>
    </row>
    <row r="672" spans="1:9" ht="19.5" customHeight="1">
      <c r="A672" s="297" t="s">
        <v>494</v>
      </c>
      <c r="B672" s="56"/>
      <c r="C672" s="37" t="s">
        <v>1163</v>
      </c>
      <c r="D672" s="37" t="s">
        <v>1142</v>
      </c>
      <c r="E672" s="37" t="s">
        <v>570</v>
      </c>
      <c r="F672" s="29" t="s">
        <v>142</v>
      </c>
      <c r="G672" s="26">
        <v>4294.5</v>
      </c>
      <c r="H672" s="26">
        <v>53118.9</v>
      </c>
      <c r="I672" s="26">
        <f>SUM(H672/G672*100)</f>
        <v>1236.9053440447085</v>
      </c>
    </row>
    <row r="673" spans="1:9" ht="18" customHeight="1">
      <c r="A673" s="285" t="s">
        <v>856</v>
      </c>
      <c r="B673" s="23"/>
      <c r="C673" s="37" t="s">
        <v>1163</v>
      </c>
      <c r="D673" s="37" t="s">
        <v>1142</v>
      </c>
      <c r="E673" s="37" t="s">
        <v>857</v>
      </c>
      <c r="F673" s="28"/>
      <c r="G673" s="26">
        <f>SUM(G674)</f>
        <v>1351.8</v>
      </c>
      <c r="H673" s="26">
        <f>SUM(H674)</f>
        <v>54469.700000000004</v>
      </c>
      <c r="I673" s="26">
        <f>SUM(H673/G673*100)</f>
        <v>4029.4200325491943</v>
      </c>
    </row>
    <row r="674" spans="1:9" ht="37.5" customHeight="1">
      <c r="A674" s="285" t="s">
        <v>493</v>
      </c>
      <c r="B674" s="96"/>
      <c r="C674" s="37" t="s">
        <v>1163</v>
      </c>
      <c r="D674" s="37" t="s">
        <v>1142</v>
      </c>
      <c r="E674" s="37" t="s">
        <v>858</v>
      </c>
      <c r="F674" s="28"/>
      <c r="G674" s="26">
        <f>SUM(G675)</f>
        <v>1351.8</v>
      </c>
      <c r="H674" s="26">
        <f>SUM(H675+H688+H694+H739)+H696+H679+H686+H699</f>
        <v>54469.700000000004</v>
      </c>
      <c r="I674" s="26">
        <f>SUM(H674/G674*100)</f>
        <v>4029.4200325491943</v>
      </c>
    </row>
    <row r="675" spans="1:9" ht="19.5" customHeight="1">
      <c r="A675" s="297" t="s">
        <v>494</v>
      </c>
      <c r="B675" s="56"/>
      <c r="C675" s="37" t="s">
        <v>1163</v>
      </c>
      <c r="D675" s="37" t="s">
        <v>1142</v>
      </c>
      <c r="E675" s="37" t="s">
        <v>858</v>
      </c>
      <c r="F675" s="29" t="s">
        <v>142</v>
      </c>
      <c r="G675" s="26">
        <v>1351.8</v>
      </c>
      <c r="H675" s="26">
        <v>53118.9</v>
      </c>
      <c r="I675" s="26">
        <f>SUM(H675/G675*100)</f>
        <v>3929.4940079893477</v>
      </c>
    </row>
    <row r="676" spans="1:9" ht="15">
      <c r="A676" s="285" t="s">
        <v>524</v>
      </c>
      <c r="B676" s="23"/>
      <c r="C676" s="37" t="s">
        <v>1163</v>
      </c>
      <c r="D676" s="37" t="s">
        <v>1142</v>
      </c>
      <c r="E676" s="37" t="s">
        <v>525</v>
      </c>
      <c r="F676" s="49"/>
      <c r="G676" s="26">
        <f>SUM(G677)</f>
        <v>49351</v>
      </c>
      <c r="H676" s="26">
        <f>SUM(H677)</f>
        <v>25662.5</v>
      </c>
      <c r="I676" s="26">
        <f t="shared" si="22"/>
        <v>51.999959473972154</v>
      </c>
    </row>
    <row r="677" spans="1:9" ht="28.5">
      <c r="A677" s="285" t="s">
        <v>493</v>
      </c>
      <c r="B677" s="23"/>
      <c r="C677" s="37" t="s">
        <v>1163</v>
      </c>
      <c r="D677" s="37" t="s">
        <v>1142</v>
      </c>
      <c r="E677" s="37" t="s">
        <v>526</v>
      </c>
      <c r="F677" s="49"/>
      <c r="G677" s="26">
        <f>SUM(G681+G679+G678)</f>
        <v>49351</v>
      </c>
      <c r="H677" s="26">
        <f>SUM(H681+H679+H678)</f>
        <v>25662.5</v>
      </c>
      <c r="I677" s="26">
        <f t="shared" si="22"/>
        <v>51.999959473972154</v>
      </c>
    </row>
    <row r="678" spans="1:9" ht="21.75" customHeight="1">
      <c r="A678" s="297" t="s">
        <v>494</v>
      </c>
      <c r="B678" s="23"/>
      <c r="C678" s="37" t="s">
        <v>1163</v>
      </c>
      <c r="D678" s="37" t="s">
        <v>1142</v>
      </c>
      <c r="E678" s="24" t="s">
        <v>526</v>
      </c>
      <c r="F678" s="28" t="s">
        <v>142</v>
      </c>
      <c r="G678" s="26">
        <v>349.4</v>
      </c>
      <c r="H678" s="26"/>
      <c r="I678" s="26">
        <f t="shared" si="22"/>
        <v>0</v>
      </c>
    </row>
    <row r="679" spans="1:9" ht="42.75">
      <c r="A679" s="297" t="s">
        <v>513</v>
      </c>
      <c r="B679" s="56"/>
      <c r="C679" s="37" t="s">
        <v>1163</v>
      </c>
      <c r="D679" s="37" t="s">
        <v>1142</v>
      </c>
      <c r="E679" s="37" t="s">
        <v>528</v>
      </c>
      <c r="F679" s="29"/>
      <c r="G679" s="26">
        <f>SUM(G680)</f>
        <v>38.5</v>
      </c>
      <c r="H679" s="26">
        <f>SUM(H680)</f>
        <v>27.5</v>
      </c>
      <c r="I679" s="26">
        <f t="shared" si="22"/>
        <v>71.42857142857143</v>
      </c>
    </row>
    <row r="680" spans="1:9" ht="15.75">
      <c r="A680" s="297" t="s">
        <v>494</v>
      </c>
      <c r="B680" s="56"/>
      <c r="C680" s="37" t="s">
        <v>1163</v>
      </c>
      <c r="D680" s="37" t="s">
        <v>1142</v>
      </c>
      <c r="E680" s="37" t="s">
        <v>528</v>
      </c>
      <c r="F680" s="29" t="s">
        <v>142</v>
      </c>
      <c r="G680" s="26">
        <v>38.5</v>
      </c>
      <c r="H680" s="26">
        <v>27.5</v>
      </c>
      <c r="I680" s="26">
        <f t="shared" si="22"/>
        <v>71.42857142857143</v>
      </c>
    </row>
    <row r="681" spans="1:9" ht="28.5">
      <c r="A681" s="285" t="s">
        <v>532</v>
      </c>
      <c r="B681" s="23"/>
      <c r="C681" s="37" t="s">
        <v>1163</v>
      </c>
      <c r="D681" s="37" t="s">
        <v>1142</v>
      </c>
      <c r="E681" s="37" t="s">
        <v>533</v>
      </c>
      <c r="F681" s="49"/>
      <c r="G681" s="26">
        <f>SUM(G682)</f>
        <v>48963.1</v>
      </c>
      <c r="H681" s="26">
        <f>SUM(H682)</f>
        <v>25635</v>
      </c>
      <c r="I681" s="26">
        <f t="shared" si="22"/>
        <v>52.355753618541314</v>
      </c>
    </row>
    <row r="682" spans="1:9" ht="15">
      <c r="A682" s="297" t="s">
        <v>494</v>
      </c>
      <c r="B682" s="23"/>
      <c r="C682" s="37" t="s">
        <v>1163</v>
      </c>
      <c r="D682" s="37" t="s">
        <v>1142</v>
      </c>
      <c r="E682" s="37" t="s">
        <v>533</v>
      </c>
      <c r="F682" s="49" t="s">
        <v>142</v>
      </c>
      <c r="G682" s="26">
        <v>48963.1</v>
      </c>
      <c r="H682" s="26">
        <v>25635</v>
      </c>
      <c r="I682" s="26">
        <f t="shared" si="22"/>
        <v>52.355753618541314</v>
      </c>
    </row>
    <row r="683" spans="1:9" ht="19.5" customHeight="1">
      <c r="A683" s="285" t="s">
        <v>534</v>
      </c>
      <c r="B683" s="37"/>
      <c r="C683" s="37" t="s">
        <v>1163</v>
      </c>
      <c r="D683" s="37" t="s">
        <v>1142</v>
      </c>
      <c r="E683" s="37" t="s">
        <v>535</v>
      </c>
      <c r="F683" s="28"/>
      <c r="G683" s="26">
        <f>SUM(G684)</f>
        <v>250.6</v>
      </c>
      <c r="H683" s="26" t="e">
        <f>SUM(H684)</f>
        <v>#REF!</v>
      </c>
      <c r="I683" s="26" t="e">
        <f t="shared" si="22"/>
        <v>#REF!</v>
      </c>
    </row>
    <row r="684" spans="1:9" ht="34.5" customHeight="1">
      <c r="A684" s="285" t="s">
        <v>493</v>
      </c>
      <c r="B684" s="96"/>
      <c r="C684" s="37" t="s">
        <v>1163</v>
      </c>
      <c r="D684" s="37" t="s">
        <v>1142</v>
      </c>
      <c r="E684" s="37" t="s">
        <v>536</v>
      </c>
      <c r="F684" s="28"/>
      <c r="G684" s="26">
        <f>SUM(G685)</f>
        <v>250.6</v>
      </c>
      <c r="H684" s="26" t="e">
        <f>SUM(#REF!+H687+H689)</f>
        <v>#REF!</v>
      </c>
      <c r="I684" s="26" t="e">
        <f t="shared" si="22"/>
        <v>#REF!</v>
      </c>
    </row>
    <row r="685" spans="1:9" ht="15">
      <c r="A685" s="297" t="s">
        <v>494</v>
      </c>
      <c r="B685" s="23"/>
      <c r="C685" s="37" t="s">
        <v>1163</v>
      </c>
      <c r="D685" s="37" t="s">
        <v>1142</v>
      </c>
      <c r="E685" s="37" t="s">
        <v>536</v>
      </c>
      <c r="F685" s="49" t="s">
        <v>142</v>
      </c>
      <c r="G685" s="26">
        <v>250.6</v>
      </c>
      <c r="H685" s="26">
        <v>25635</v>
      </c>
      <c r="I685" s="26">
        <f>SUM(H685/G685*100)</f>
        <v>10229.449321628093</v>
      </c>
    </row>
    <row r="686" spans="1:9" ht="15">
      <c r="A686" s="285" t="s">
        <v>1164</v>
      </c>
      <c r="B686" s="30"/>
      <c r="C686" s="24" t="s">
        <v>1163</v>
      </c>
      <c r="D686" s="24" t="s">
        <v>1163</v>
      </c>
      <c r="E686" s="37"/>
      <c r="F686" s="49"/>
      <c r="G686" s="26">
        <f>SUM(G694+G687)</f>
        <v>16.1</v>
      </c>
      <c r="H686" s="26">
        <f>SUM(H694+H687)</f>
        <v>0</v>
      </c>
      <c r="I686" s="26">
        <f t="shared" si="22"/>
        <v>0</v>
      </c>
    </row>
    <row r="687" spans="1:9" ht="15">
      <c r="A687" s="291" t="s">
        <v>76</v>
      </c>
      <c r="B687" s="36"/>
      <c r="C687" s="37" t="s">
        <v>1163</v>
      </c>
      <c r="D687" s="37" t="s">
        <v>1163</v>
      </c>
      <c r="E687" s="37" t="s">
        <v>77</v>
      </c>
      <c r="F687" s="28"/>
      <c r="G687" s="26">
        <f>SUM(G688)</f>
        <v>16.1</v>
      </c>
      <c r="H687" s="26">
        <f>SUM(H688)</f>
        <v>0</v>
      </c>
      <c r="I687" s="26">
        <f t="shared" si="22"/>
        <v>0</v>
      </c>
    </row>
    <row r="688" spans="1:9" ht="28.5">
      <c r="A688" s="285" t="s">
        <v>493</v>
      </c>
      <c r="B688" s="37"/>
      <c r="C688" s="37" t="s">
        <v>1163</v>
      </c>
      <c r="D688" s="37" t="s">
        <v>1163</v>
      </c>
      <c r="E688" s="37" t="s">
        <v>83</v>
      </c>
      <c r="F688" s="28"/>
      <c r="G688" s="26">
        <f>SUM(G689)</f>
        <v>16.1</v>
      </c>
      <c r="H688" s="26">
        <f>SUM(H689)</f>
        <v>0</v>
      </c>
      <c r="I688" s="26">
        <f t="shared" si="22"/>
        <v>0</v>
      </c>
    </row>
    <row r="689" spans="1:9" ht="15">
      <c r="A689" s="297" t="s">
        <v>494</v>
      </c>
      <c r="B689" s="36"/>
      <c r="C689" s="37" t="s">
        <v>1163</v>
      </c>
      <c r="D689" s="37" t="s">
        <v>1163</v>
      </c>
      <c r="E689" s="37" t="s">
        <v>83</v>
      </c>
      <c r="F689" s="28" t="s">
        <v>142</v>
      </c>
      <c r="G689" s="26">
        <v>16.1</v>
      </c>
      <c r="H689" s="26"/>
      <c r="I689" s="26">
        <f t="shared" si="22"/>
        <v>0</v>
      </c>
    </row>
    <row r="690" spans="1:9" ht="15">
      <c r="A690" s="285" t="s">
        <v>98</v>
      </c>
      <c r="B690" s="23"/>
      <c r="C690" s="37" t="s">
        <v>1163</v>
      </c>
      <c r="D690" s="37" t="s">
        <v>971</v>
      </c>
      <c r="E690" s="37"/>
      <c r="F690" s="28"/>
      <c r="G690" s="26">
        <f>SUM(G691)</f>
        <v>301.2</v>
      </c>
      <c r="H690" s="26">
        <f>SUM(H694+H698+H705+H723+H691)</f>
        <v>36356.7</v>
      </c>
      <c r="I690" s="26">
        <f>SUM(H690/G690*100)</f>
        <v>12070.617529880477</v>
      </c>
    </row>
    <row r="691" spans="1:9" ht="42.75">
      <c r="A691" s="287" t="s">
        <v>915</v>
      </c>
      <c r="B691" s="23"/>
      <c r="C691" s="37" t="s">
        <v>1163</v>
      </c>
      <c r="D691" s="37" t="s">
        <v>971</v>
      </c>
      <c r="E691" s="37" t="s">
        <v>916</v>
      </c>
      <c r="F691" s="28"/>
      <c r="G691" s="26">
        <f>SUM(G692)</f>
        <v>301.2</v>
      </c>
      <c r="H691" s="26">
        <f>SUM(H692)</f>
        <v>17823.6</v>
      </c>
      <c r="I691" s="26">
        <f>SUM(H691/G691*100)</f>
        <v>5917.529880478087</v>
      </c>
    </row>
    <row r="692" spans="1:9" ht="33" customHeight="1">
      <c r="A692" s="285" t="s">
        <v>493</v>
      </c>
      <c r="B692" s="66"/>
      <c r="C692" s="37" t="s">
        <v>1163</v>
      </c>
      <c r="D692" s="37" t="s">
        <v>971</v>
      </c>
      <c r="E692" s="37" t="s">
        <v>917</v>
      </c>
      <c r="F692" s="28"/>
      <c r="G692" s="26">
        <f>SUM(G693+G694+G696)</f>
        <v>301.2</v>
      </c>
      <c r="H692" s="26">
        <f>SUM(H693+H694+H696)</f>
        <v>17823.6</v>
      </c>
      <c r="I692" s="26">
        <f>SUM(H692/G692*100)</f>
        <v>5917.529880478087</v>
      </c>
    </row>
    <row r="693" spans="1:9" ht="18" customHeight="1">
      <c r="A693" s="297" t="s">
        <v>494</v>
      </c>
      <c r="B693" s="66"/>
      <c r="C693" s="37" t="s">
        <v>1163</v>
      </c>
      <c r="D693" s="37" t="s">
        <v>971</v>
      </c>
      <c r="E693" s="37" t="s">
        <v>917</v>
      </c>
      <c r="F693" s="28" t="s">
        <v>142</v>
      </c>
      <c r="G693" s="26">
        <v>301.2</v>
      </c>
      <c r="H693" s="26">
        <v>17823.6</v>
      </c>
      <c r="I693" s="26">
        <f>SUM(H693/G693*100)</f>
        <v>5917.529880478087</v>
      </c>
    </row>
    <row r="694" spans="1:9" ht="15" hidden="1">
      <c r="A694" s="287" t="s">
        <v>84</v>
      </c>
      <c r="B694" s="30"/>
      <c r="C694" s="24" t="s">
        <v>1163</v>
      </c>
      <c r="D694" s="24" t="s">
        <v>1163</v>
      </c>
      <c r="E694" s="24" t="s">
        <v>1166</v>
      </c>
      <c r="F694" s="49"/>
      <c r="G694" s="26">
        <f>SUM(G695)</f>
        <v>0</v>
      </c>
      <c r="H694" s="26">
        <f>SUM(H695)</f>
        <v>0</v>
      </c>
      <c r="I694" s="26" t="e">
        <f t="shared" si="22"/>
        <v>#DIV/0!</v>
      </c>
    </row>
    <row r="695" spans="1:9" ht="15" customHeight="1" hidden="1">
      <c r="A695" s="287" t="s">
        <v>85</v>
      </c>
      <c r="B695" s="30"/>
      <c r="C695" s="24" t="s">
        <v>1163</v>
      </c>
      <c r="D695" s="24" t="s">
        <v>1163</v>
      </c>
      <c r="E695" s="24" t="s">
        <v>86</v>
      </c>
      <c r="F695" s="49"/>
      <c r="G695" s="26">
        <f>SUM(G696)</f>
        <v>0</v>
      </c>
      <c r="H695" s="26">
        <f>SUM(H696)</f>
        <v>0</v>
      </c>
      <c r="I695" s="26" t="e">
        <f t="shared" si="22"/>
        <v>#DIV/0!</v>
      </c>
    </row>
    <row r="696" spans="1:9" s="85" customFormat="1" ht="15" customHeight="1" hidden="1">
      <c r="A696" s="297" t="s">
        <v>141</v>
      </c>
      <c r="B696" s="30"/>
      <c r="C696" s="24" t="s">
        <v>1163</v>
      </c>
      <c r="D696" s="24" t="s">
        <v>1163</v>
      </c>
      <c r="E696" s="24" t="s">
        <v>86</v>
      </c>
      <c r="F696" s="25" t="s">
        <v>142</v>
      </c>
      <c r="G696" s="26"/>
      <c r="H696" s="26"/>
      <c r="I696" s="26" t="e">
        <f t="shared" si="22"/>
        <v>#DIV/0!</v>
      </c>
    </row>
    <row r="697" spans="1:9" s="85" customFormat="1" ht="15" customHeight="1" hidden="1">
      <c r="A697" s="297" t="s">
        <v>1164</v>
      </c>
      <c r="B697" s="30"/>
      <c r="C697" s="24" t="s">
        <v>1163</v>
      </c>
      <c r="D697" s="24" t="s">
        <v>1163</v>
      </c>
      <c r="E697" s="24"/>
      <c r="F697" s="25"/>
      <c r="G697" s="26">
        <f>SUM(G698)</f>
        <v>0</v>
      </c>
      <c r="H697" s="26">
        <f>SUM(H698)</f>
        <v>119.8</v>
      </c>
      <c r="I697" s="26" t="e">
        <f t="shared" si="22"/>
        <v>#DIV/0!</v>
      </c>
    </row>
    <row r="698" spans="1:9" s="85" customFormat="1" ht="15" customHeight="1" hidden="1">
      <c r="A698" s="297" t="s">
        <v>638</v>
      </c>
      <c r="B698" s="30"/>
      <c r="C698" s="24" t="s">
        <v>1163</v>
      </c>
      <c r="D698" s="24" t="s">
        <v>1163</v>
      </c>
      <c r="E698" s="24" t="s">
        <v>639</v>
      </c>
      <c r="F698" s="25"/>
      <c r="G698" s="26">
        <f>SUM(G699)</f>
        <v>0</v>
      </c>
      <c r="H698" s="26">
        <f>SUM(H699)</f>
        <v>119.8</v>
      </c>
      <c r="I698" s="26" t="e">
        <f t="shared" si="22"/>
        <v>#DIV/0!</v>
      </c>
    </row>
    <row r="699" spans="1:9" s="85" customFormat="1" ht="15" customHeight="1" hidden="1">
      <c r="A699" s="297" t="s">
        <v>74</v>
      </c>
      <c r="B699" s="30"/>
      <c r="C699" s="24" t="s">
        <v>1163</v>
      </c>
      <c r="D699" s="24" t="s">
        <v>1163</v>
      </c>
      <c r="E699" s="24" t="s">
        <v>639</v>
      </c>
      <c r="F699" s="25" t="s">
        <v>75</v>
      </c>
      <c r="G699" s="26"/>
      <c r="H699" s="26">
        <v>119.8</v>
      </c>
      <c r="I699" s="26" t="e">
        <f t="shared" si="22"/>
        <v>#DIV/0!</v>
      </c>
    </row>
    <row r="700" spans="1:9" s="333" customFormat="1" ht="15">
      <c r="A700" s="299" t="s">
        <v>531</v>
      </c>
      <c r="B700" s="32"/>
      <c r="C700" s="33" t="s">
        <v>1176</v>
      </c>
      <c r="D700" s="33"/>
      <c r="E700" s="33"/>
      <c r="F700" s="103"/>
      <c r="G700" s="54">
        <f>SUM(G701+G711)</f>
        <v>816.1999999999999</v>
      </c>
      <c r="H700" s="54" t="e">
        <f>SUM(H701+H754)</f>
        <v>#REF!</v>
      </c>
      <c r="I700" s="54" t="e">
        <f aca="true" t="shared" si="23" ref="I700:I737">SUM(H700/G700*100)</f>
        <v>#REF!</v>
      </c>
    </row>
    <row r="701" spans="1:9" ht="15">
      <c r="A701" s="285" t="s">
        <v>616</v>
      </c>
      <c r="B701" s="23"/>
      <c r="C701" s="37" t="s">
        <v>1176</v>
      </c>
      <c r="D701" s="37" t="s">
        <v>1140</v>
      </c>
      <c r="E701" s="37"/>
      <c r="F701" s="28"/>
      <c r="G701" s="26">
        <f>SUM(G702+G705+G708)</f>
        <v>774.8</v>
      </c>
      <c r="H701" s="26" t="e">
        <f>SUM(H742+H710+H706+H750)</f>
        <v>#REF!</v>
      </c>
      <c r="I701" s="26" t="e">
        <f t="shared" si="23"/>
        <v>#REF!</v>
      </c>
    </row>
    <row r="702" spans="1:9" ht="28.5">
      <c r="A702" s="291" t="s">
        <v>1178</v>
      </c>
      <c r="B702" s="23"/>
      <c r="C702" s="37" t="s">
        <v>1176</v>
      </c>
      <c r="D702" s="37" t="s">
        <v>1140</v>
      </c>
      <c r="E702" s="37" t="s">
        <v>200</v>
      </c>
      <c r="F702" s="28"/>
      <c r="G702" s="26">
        <f>SUM(G703:G703)</f>
        <v>432.2</v>
      </c>
      <c r="H702" s="26">
        <f>SUM(H708)</f>
        <v>13901.099999999999</v>
      </c>
      <c r="I702" s="26">
        <f t="shared" si="23"/>
        <v>3216.358167515039</v>
      </c>
    </row>
    <row r="703" spans="1:9" ht="27.75" customHeight="1">
      <c r="A703" s="285" t="s">
        <v>493</v>
      </c>
      <c r="B703" s="36"/>
      <c r="C703" s="37" t="s">
        <v>1176</v>
      </c>
      <c r="D703" s="37" t="s">
        <v>1140</v>
      </c>
      <c r="E703" s="37" t="s">
        <v>201</v>
      </c>
      <c r="F703" s="28"/>
      <c r="G703" s="26">
        <f>SUM(G704:G704)</f>
        <v>432.2</v>
      </c>
      <c r="H703" s="26">
        <v>14679.5</v>
      </c>
      <c r="I703" s="26">
        <f t="shared" si="23"/>
        <v>3396.4599722350763</v>
      </c>
    </row>
    <row r="704" spans="1:9" ht="18" customHeight="1">
      <c r="A704" s="297" t="s">
        <v>494</v>
      </c>
      <c r="B704" s="36"/>
      <c r="C704" s="37" t="s">
        <v>1176</v>
      </c>
      <c r="D704" s="37" t="s">
        <v>1140</v>
      </c>
      <c r="E704" s="37" t="s">
        <v>201</v>
      </c>
      <c r="F704" s="28" t="s">
        <v>142</v>
      </c>
      <c r="G704" s="26">
        <v>432.2</v>
      </c>
      <c r="H704" s="26"/>
      <c r="I704" s="26">
        <f t="shared" si="23"/>
        <v>0</v>
      </c>
    </row>
    <row r="705" spans="1:9" ht="15">
      <c r="A705" s="285" t="s">
        <v>620</v>
      </c>
      <c r="B705" s="23"/>
      <c r="C705" s="37" t="s">
        <v>1176</v>
      </c>
      <c r="D705" s="37" t="s">
        <v>1140</v>
      </c>
      <c r="E705" s="37" t="s">
        <v>621</v>
      </c>
      <c r="F705" s="28"/>
      <c r="G705" s="26">
        <f>SUM(G706)</f>
        <v>55.2</v>
      </c>
      <c r="H705" s="26">
        <f>SUM(H706)</f>
        <v>14679.5</v>
      </c>
      <c r="I705" s="26">
        <f t="shared" si="23"/>
        <v>26593.297101449276</v>
      </c>
    </row>
    <row r="706" spans="1:9" ht="27.75" customHeight="1">
      <c r="A706" s="285" t="s">
        <v>493</v>
      </c>
      <c r="B706" s="36"/>
      <c r="C706" s="37" t="s">
        <v>1176</v>
      </c>
      <c r="D706" s="37" t="s">
        <v>1140</v>
      </c>
      <c r="E706" s="37" t="s">
        <v>622</v>
      </c>
      <c r="F706" s="28"/>
      <c r="G706" s="26">
        <f>SUM(G707:G707)</f>
        <v>55.2</v>
      </c>
      <c r="H706" s="26">
        <v>14679.5</v>
      </c>
      <c r="I706" s="26">
        <f t="shared" si="23"/>
        <v>26593.297101449276</v>
      </c>
    </row>
    <row r="707" spans="1:9" ht="18" customHeight="1">
      <c r="A707" s="297" t="s">
        <v>494</v>
      </c>
      <c r="B707" s="36"/>
      <c r="C707" s="37" t="s">
        <v>1176</v>
      </c>
      <c r="D707" s="37" t="s">
        <v>1140</v>
      </c>
      <c r="E707" s="37" t="s">
        <v>622</v>
      </c>
      <c r="F707" s="28" t="s">
        <v>142</v>
      </c>
      <c r="G707" s="26">
        <v>55.2</v>
      </c>
      <c r="H707" s="26"/>
      <c r="I707" s="26">
        <f t="shared" si="23"/>
        <v>0</v>
      </c>
    </row>
    <row r="708" spans="1:9" ht="15">
      <c r="A708" s="285" t="s">
        <v>624</v>
      </c>
      <c r="B708" s="23"/>
      <c r="C708" s="37" t="s">
        <v>1176</v>
      </c>
      <c r="D708" s="37" t="s">
        <v>1140</v>
      </c>
      <c r="E708" s="37" t="s">
        <v>625</v>
      </c>
      <c r="F708" s="28"/>
      <c r="G708" s="26">
        <f>SUM(G709)</f>
        <v>287.4</v>
      </c>
      <c r="H708" s="26">
        <f>SUM(H709)</f>
        <v>13901.099999999999</v>
      </c>
      <c r="I708" s="26">
        <f t="shared" si="23"/>
        <v>4836.847599164927</v>
      </c>
    </row>
    <row r="709" spans="1:9" ht="34.5" customHeight="1">
      <c r="A709" s="285" t="s">
        <v>493</v>
      </c>
      <c r="B709" s="96"/>
      <c r="C709" s="37" t="s">
        <v>1176</v>
      </c>
      <c r="D709" s="37" t="s">
        <v>1140</v>
      </c>
      <c r="E709" s="37" t="s">
        <v>626</v>
      </c>
      <c r="F709" s="28"/>
      <c r="G709" s="26">
        <f>SUM(G710)</f>
        <v>287.4</v>
      </c>
      <c r="H709" s="26">
        <f>SUM(H710+H714+H739)</f>
        <v>13901.099999999999</v>
      </c>
      <c r="I709" s="26">
        <f t="shared" si="23"/>
        <v>4836.847599164927</v>
      </c>
    </row>
    <row r="710" spans="1:9" ht="15.75" customHeight="1">
      <c r="A710" s="297" t="s">
        <v>494</v>
      </c>
      <c r="B710" s="56"/>
      <c r="C710" s="37" t="s">
        <v>1176</v>
      </c>
      <c r="D710" s="37" t="s">
        <v>1140</v>
      </c>
      <c r="E710" s="37" t="s">
        <v>626</v>
      </c>
      <c r="F710" s="29" t="s">
        <v>142</v>
      </c>
      <c r="G710" s="26">
        <v>287.4</v>
      </c>
      <c r="H710" s="26">
        <v>8963.8</v>
      </c>
      <c r="I710" s="26">
        <f t="shared" si="23"/>
        <v>3118.9283228949203</v>
      </c>
    </row>
    <row r="711" spans="1:9" ht="24" customHeight="1">
      <c r="A711" s="287" t="s">
        <v>103</v>
      </c>
      <c r="B711" s="42"/>
      <c r="C711" s="33" t="s">
        <v>1176</v>
      </c>
      <c r="D711" s="33" t="s">
        <v>1174</v>
      </c>
      <c r="E711" s="33"/>
      <c r="F711" s="103"/>
      <c r="G711" s="26">
        <f>SUM(G712)</f>
        <v>41.4</v>
      </c>
      <c r="H711" s="26" t="e">
        <f>SUM(H738+H743)+H712</f>
        <v>#REF!</v>
      </c>
      <c r="I711" s="26" t="e">
        <f t="shared" si="23"/>
        <v>#REF!</v>
      </c>
    </row>
    <row r="712" spans="1:9" ht="57" customHeight="1">
      <c r="A712" s="287" t="s">
        <v>915</v>
      </c>
      <c r="B712" s="96"/>
      <c r="C712" s="37" t="s">
        <v>1176</v>
      </c>
      <c r="D712" s="33" t="s">
        <v>1174</v>
      </c>
      <c r="E712" s="37" t="s">
        <v>916</v>
      </c>
      <c r="F712" s="28"/>
      <c r="G712" s="26">
        <f>SUM(G713)</f>
        <v>41.4</v>
      </c>
      <c r="H712" s="26">
        <f>SUM(H713)</f>
        <v>3733.8</v>
      </c>
      <c r="I712" s="26">
        <f t="shared" si="23"/>
        <v>9018.840579710146</v>
      </c>
    </row>
    <row r="713" spans="1:9" ht="30.75" customHeight="1">
      <c r="A713" s="285" t="s">
        <v>493</v>
      </c>
      <c r="B713" s="96"/>
      <c r="C713" s="37" t="s">
        <v>1176</v>
      </c>
      <c r="D713" s="33" t="s">
        <v>1174</v>
      </c>
      <c r="E713" s="37" t="s">
        <v>917</v>
      </c>
      <c r="F713" s="28"/>
      <c r="G713" s="26">
        <f>SUM(G714)</f>
        <v>41.4</v>
      </c>
      <c r="H713" s="26">
        <f>SUM(H714)</f>
        <v>3733.8</v>
      </c>
      <c r="I713" s="26">
        <f t="shared" si="23"/>
        <v>9018.840579710146</v>
      </c>
    </row>
    <row r="714" spans="1:9" ht="16.5" customHeight="1">
      <c r="A714" s="297" t="s">
        <v>494</v>
      </c>
      <c r="B714" s="56"/>
      <c r="C714" s="37" t="s">
        <v>1176</v>
      </c>
      <c r="D714" s="33" t="s">
        <v>1174</v>
      </c>
      <c r="E714" s="37" t="s">
        <v>917</v>
      </c>
      <c r="F714" s="29" t="s">
        <v>142</v>
      </c>
      <c r="G714" s="26">
        <v>41.4</v>
      </c>
      <c r="H714" s="26">
        <v>3733.8</v>
      </c>
      <c r="I714" s="26">
        <f t="shared" si="23"/>
        <v>9018.840579710146</v>
      </c>
    </row>
    <row r="715" spans="1:9" s="333" customFormat="1" ht="15">
      <c r="A715" s="299" t="s">
        <v>529</v>
      </c>
      <c r="B715" s="32"/>
      <c r="C715" s="33" t="s">
        <v>971</v>
      </c>
      <c r="D715" s="33"/>
      <c r="E715" s="33"/>
      <c r="F715" s="103"/>
      <c r="G715" s="54">
        <f>SUM(G716+G720+G730+G734)</f>
        <v>6595.799999999999</v>
      </c>
      <c r="H715" s="54" t="e">
        <f>SUM(H716+H736+H756+H761+H771+H780)</f>
        <v>#REF!</v>
      </c>
      <c r="I715" s="54" t="e">
        <f t="shared" si="23"/>
        <v>#REF!</v>
      </c>
    </row>
    <row r="716" spans="1:9" ht="15.75" customHeight="1">
      <c r="A716" s="285" t="s">
        <v>365</v>
      </c>
      <c r="B716" s="23"/>
      <c r="C716" s="37" t="s">
        <v>971</v>
      </c>
      <c r="D716" s="37" t="s">
        <v>1140</v>
      </c>
      <c r="E716" s="37"/>
      <c r="F716" s="28"/>
      <c r="G716" s="26">
        <f>SUM(G717)</f>
        <v>2678.3</v>
      </c>
      <c r="H716" s="26">
        <f>SUM(H721+H723)</f>
        <v>7467.6</v>
      </c>
      <c r="I716" s="26">
        <f t="shared" si="23"/>
        <v>278.8186536235672</v>
      </c>
    </row>
    <row r="717" spans="1:9" ht="15">
      <c r="A717" s="285" t="s">
        <v>369</v>
      </c>
      <c r="B717" s="23"/>
      <c r="C717" s="37" t="s">
        <v>971</v>
      </c>
      <c r="D717" s="37" t="s">
        <v>1140</v>
      </c>
      <c r="E717" s="37" t="s">
        <v>370</v>
      </c>
      <c r="F717" s="28"/>
      <c r="G717" s="26">
        <f>SUM(G718)</f>
        <v>2678.3</v>
      </c>
      <c r="H717" s="26">
        <f>SUM(H718)</f>
        <v>3733.8</v>
      </c>
      <c r="I717" s="26">
        <f t="shared" si="23"/>
        <v>139.4093268117836</v>
      </c>
    </row>
    <row r="718" spans="1:9" ht="30.75" customHeight="1">
      <c r="A718" s="285" t="s">
        <v>493</v>
      </c>
      <c r="B718" s="96"/>
      <c r="C718" s="37" t="s">
        <v>971</v>
      </c>
      <c r="D718" s="37" t="s">
        <v>1140</v>
      </c>
      <c r="E718" s="37" t="s">
        <v>371</v>
      </c>
      <c r="F718" s="28"/>
      <c r="G718" s="26">
        <f>SUM(G719)</f>
        <v>2678.3</v>
      </c>
      <c r="H718" s="26">
        <f>SUM(H719)</f>
        <v>3733.8</v>
      </c>
      <c r="I718" s="26">
        <f t="shared" si="23"/>
        <v>139.4093268117836</v>
      </c>
    </row>
    <row r="719" spans="1:9" ht="16.5" customHeight="1">
      <c r="A719" s="297" t="s">
        <v>494</v>
      </c>
      <c r="B719" s="56"/>
      <c r="C719" s="37" t="s">
        <v>971</v>
      </c>
      <c r="D719" s="37" t="s">
        <v>1140</v>
      </c>
      <c r="E719" s="37" t="s">
        <v>371</v>
      </c>
      <c r="F719" s="29" t="s">
        <v>142</v>
      </c>
      <c r="G719" s="26">
        <v>2678.3</v>
      </c>
      <c r="H719" s="26">
        <v>3733.8</v>
      </c>
      <c r="I719" s="26">
        <f t="shared" si="23"/>
        <v>139.4093268117836</v>
      </c>
    </row>
    <row r="720" spans="1:9" ht="18.75" customHeight="1">
      <c r="A720" s="285" t="s">
        <v>119</v>
      </c>
      <c r="B720" s="23"/>
      <c r="C720" s="37" t="s">
        <v>971</v>
      </c>
      <c r="D720" s="37" t="s">
        <v>1142</v>
      </c>
      <c r="E720" s="37"/>
      <c r="F720" s="28"/>
      <c r="G720" s="26">
        <f>SUM(G721+G724+G727)</f>
        <v>3253.1</v>
      </c>
      <c r="H720" s="26" t="e">
        <f>SUM(H721+H728+H739+H743)</f>
        <v>#REF!</v>
      </c>
      <c r="I720" s="26" t="e">
        <f t="shared" si="23"/>
        <v>#REF!</v>
      </c>
    </row>
    <row r="721" spans="1:9" ht="15">
      <c r="A721" s="285" t="s">
        <v>369</v>
      </c>
      <c r="B721" s="23"/>
      <c r="C721" s="37" t="s">
        <v>971</v>
      </c>
      <c r="D721" s="37" t="s">
        <v>1142</v>
      </c>
      <c r="E721" s="37" t="s">
        <v>370</v>
      </c>
      <c r="F721" s="28"/>
      <c r="G721" s="26">
        <f>SUM(G722)</f>
        <v>2848.5</v>
      </c>
      <c r="H721" s="26">
        <f>SUM(H722)</f>
        <v>3733.8</v>
      </c>
      <c r="I721" s="26">
        <f t="shared" si="23"/>
        <v>131.07951553449183</v>
      </c>
    </row>
    <row r="722" spans="1:9" ht="30.75" customHeight="1">
      <c r="A722" s="285" t="s">
        <v>493</v>
      </c>
      <c r="B722" s="96"/>
      <c r="C722" s="37" t="s">
        <v>971</v>
      </c>
      <c r="D722" s="37" t="s">
        <v>1142</v>
      </c>
      <c r="E722" s="37" t="s">
        <v>371</v>
      </c>
      <c r="F722" s="28"/>
      <c r="G722" s="26">
        <f>SUM(G723)</f>
        <v>2848.5</v>
      </c>
      <c r="H722" s="26">
        <f>SUM(H723)</f>
        <v>3733.8</v>
      </c>
      <c r="I722" s="26">
        <f t="shared" si="23"/>
        <v>131.07951553449183</v>
      </c>
    </row>
    <row r="723" spans="1:9" ht="16.5" customHeight="1">
      <c r="A723" s="297" t="s">
        <v>494</v>
      </c>
      <c r="B723" s="56"/>
      <c r="C723" s="37" t="s">
        <v>971</v>
      </c>
      <c r="D723" s="37" t="s">
        <v>1142</v>
      </c>
      <c r="E723" s="37" t="s">
        <v>371</v>
      </c>
      <c r="F723" s="29" t="s">
        <v>142</v>
      </c>
      <c r="G723" s="26">
        <v>2848.5</v>
      </c>
      <c r="H723" s="26">
        <v>3733.8</v>
      </c>
      <c r="I723" s="26">
        <f t="shared" si="23"/>
        <v>131.07951553449183</v>
      </c>
    </row>
    <row r="724" spans="1:9" ht="15.75" customHeight="1">
      <c r="A724" s="285" t="s">
        <v>120</v>
      </c>
      <c r="B724" s="23"/>
      <c r="C724" s="37" t="s">
        <v>971</v>
      </c>
      <c r="D724" s="37" t="s">
        <v>1142</v>
      </c>
      <c r="E724" s="37" t="s">
        <v>121</v>
      </c>
      <c r="F724" s="28"/>
      <c r="G724" s="26">
        <f>SUM(G725)</f>
        <v>370.1</v>
      </c>
      <c r="H724" s="26">
        <f>SUM(H725)</f>
        <v>3733.8</v>
      </c>
      <c r="I724" s="26">
        <f t="shared" si="23"/>
        <v>1008.86246960281</v>
      </c>
    </row>
    <row r="725" spans="1:9" ht="30.75" customHeight="1">
      <c r="A725" s="285" t="s">
        <v>493</v>
      </c>
      <c r="B725" s="96"/>
      <c r="C725" s="37" t="s">
        <v>971</v>
      </c>
      <c r="D725" s="37" t="s">
        <v>1142</v>
      </c>
      <c r="E725" s="37" t="s">
        <v>122</v>
      </c>
      <c r="F725" s="28"/>
      <c r="G725" s="26">
        <f>SUM(G726)</f>
        <v>370.1</v>
      </c>
      <c r="H725" s="26">
        <f>SUM(H726)</f>
        <v>3733.8</v>
      </c>
      <c r="I725" s="26">
        <f t="shared" si="23"/>
        <v>1008.86246960281</v>
      </c>
    </row>
    <row r="726" spans="1:9" ht="16.5" customHeight="1">
      <c r="A726" s="297" t="s">
        <v>494</v>
      </c>
      <c r="B726" s="56"/>
      <c r="C726" s="37" t="s">
        <v>971</v>
      </c>
      <c r="D726" s="37" t="s">
        <v>1142</v>
      </c>
      <c r="E726" s="37" t="s">
        <v>122</v>
      </c>
      <c r="F726" s="29" t="s">
        <v>142</v>
      </c>
      <c r="G726" s="26">
        <v>370.1</v>
      </c>
      <c r="H726" s="26">
        <v>3733.8</v>
      </c>
      <c r="I726" s="26">
        <f t="shared" si="23"/>
        <v>1008.86246960281</v>
      </c>
    </row>
    <row r="727" spans="1:9" ht="14.25" customHeight="1">
      <c r="A727" s="285" t="s">
        <v>124</v>
      </c>
      <c r="B727" s="23"/>
      <c r="C727" s="37" t="s">
        <v>971</v>
      </c>
      <c r="D727" s="37" t="s">
        <v>1142</v>
      </c>
      <c r="E727" s="37" t="s">
        <v>125</v>
      </c>
      <c r="F727" s="28"/>
      <c r="G727" s="26">
        <f>SUM(G728)</f>
        <v>34.5</v>
      </c>
      <c r="H727" s="26">
        <f>SUM(H728)</f>
        <v>3733.8</v>
      </c>
      <c r="I727" s="26">
        <f t="shared" si="23"/>
        <v>10822.608695652174</v>
      </c>
    </row>
    <row r="728" spans="1:9" ht="30.75" customHeight="1">
      <c r="A728" s="285" t="s">
        <v>493</v>
      </c>
      <c r="B728" s="96"/>
      <c r="C728" s="37" t="s">
        <v>971</v>
      </c>
      <c r="D728" s="37" t="s">
        <v>1142</v>
      </c>
      <c r="E728" s="37" t="s">
        <v>218</v>
      </c>
      <c r="F728" s="28"/>
      <c r="G728" s="26">
        <f>SUM(G729)</f>
        <v>34.5</v>
      </c>
      <c r="H728" s="26">
        <f>SUM(H729)</f>
        <v>3733.8</v>
      </c>
      <c r="I728" s="26">
        <f t="shared" si="23"/>
        <v>10822.608695652174</v>
      </c>
    </row>
    <row r="729" spans="1:9" ht="16.5" customHeight="1">
      <c r="A729" s="297" t="s">
        <v>494</v>
      </c>
      <c r="B729" s="56"/>
      <c r="C729" s="37" t="s">
        <v>971</v>
      </c>
      <c r="D729" s="37" t="s">
        <v>1142</v>
      </c>
      <c r="E729" s="37" t="s">
        <v>218</v>
      </c>
      <c r="F729" s="29" t="s">
        <v>142</v>
      </c>
      <c r="G729" s="26">
        <v>34.5</v>
      </c>
      <c r="H729" s="26">
        <v>3733.8</v>
      </c>
      <c r="I729" s="26">
        <f t="shared" si="23"/>
        <v>10822.608695652174</v>
      </c>
    </row>
    <row r="730" spans="1:9" ht="15">
      <c r="A730" s="297" t="s">
        <v>130</v>
      </c>
      <c r="B730" s="23"/>
      <c r="C730" s="37" t="s">
        <v>971</v>
      </c>
      <c r="D730" s="37" t="s">
        <v>1174</v>
      </c>
      <c r="E730" s="37"/>
      <c r="F730" s="28"/>
      <c r="G730" s="26">
        <f>SUM(G731)</f>
        <v>597.7</v>
      </c>
      <c r="H730" s="26" t="e">
        <f>SUM(H733+H739+H731)</f>
        <v>#REF!</v>
      </c>
      <c r="I730" s="26" t="e">
        <f t="shared" si="23"/>
        <v>#REF!</v>
      </c>
    </row>
    <row r="731" spans="1:9" ht="15" customHeight="1">
      <c r="A731" s="285" t="s">
        <v>131</v>
      </c>
      <c r="B731" s="23"/>
      <c r="C731" s="37" t="s">
        <v>971</v>
      </c>
      <c r="D731" s="37" t="s">
        <v>1174</v>
      </c>
      <c r="E731" s="37" t="s">
        <v>132</v>
      </c>
      <c r="F731" s="28"/>
      <c r="G731" s="26">
        <f>SUM(G732)</f>
        <v>597.7</v>
      </c>
      <c r="H731" s="26" t="e">
        <f>SUM(H732)</f>
        <v>#REF!</v>
      </c>
      <c r="I731" s="26" t="e">
        <f t="shared" si="23"/>
        <v>#REF!</v>
      </c>
    </row>
    <row r="732" spans="1:9" ht="30" customHeight="1">
      <c r="A732" s="285" t="s">
        <v>493</v>
      </c>
      <c r="B732" s="23"/>
      <c r="C732" s="37" t="s">
        <v>971</v>
      </c>
      <c r="D732" s="37" t="s">
        <v>1174</v>
      </c>
      <c r="E732" s="37" t="s">
        <v>133</v>
      </c>
      <c r="F732" s="28"/>
      <c r="G732" s="26">
        <f>SUM(G733)</f>
        <v>597.7</v>
      </c>
      <c r="H732" s="26" t="e">
        <f>SUM(H733:H736)</f>
        <v>#REF!</v>
      </c>
      <c r="I732" s="26" t="e">
        <f t="shared" si="23"/>
        <v>#REF!</v>
      </c>
    </row>
    <row r="733" spans="1:9" ht="17.25" customHeight="1">
      <c r="A733" s="297" t="s">
        <v>494</v>
      </c>
      <c r="B733" s="23"/>
      <c r="C733" s="37" t="s">
        <v>971</v>
      </c>
      <c r="D733" s="37" t="s">
        <v>1174</v>
      </c>
      <c r="E733" s="37" t="s">
        <v>133</v>
      </c>
      <c r="F733" s="28" t="s">
        <v>142</v>
      </c>
      <c r="G733" s="26">
        <v>597.7</v>
      </c>
      <c r="H733" s="26">
        <v>34637.7</v>
      </c>
      <c r="I733" s="26">
        <f t="shared" si="23"/>
        <v>5795.164798393842</v>
      </c>
    </row>
    <row r="734" spans="1:9" ht="15">
      <c r="A734" s="285" t="s">
        <v>115</v>
      </c>
      <c r="B734" s="23"/>
      <c r="C734" s="37" t="s">
        <v>971</v>
      </c>
      <c r="D734" s="37" t="s">
        <v>971</v>
      </c>
      <c r="E734" s="37"/>
      <c r="F734" s="28"/>
      <c r="G734" s="26">
        <f>SUM(G735)</f>
        <v>66.7</v>
      </c>
      <c r="H734" s="26" t="e">
        <f>SUM(H735+H743+H750+H752+H748)</f>
        <v>#REF!</v>
      </c>
      <c r="I734" s="26" t="e">
        <f t="shared" si="23"/>
        <v>#REF!</v>
      </c>
    </row>
    <row r="735" spans="1:9" ht="28.5">
      <c r="A735" s="292" t="s">
        <v>366</v>
      </c>
      <c r="B735" s="23"/>
      <c r="C735" s="37" t="s">
        <v>971</v>
      </c>
      <c r="D735" s="37" t="s">
        <v>971</v>
      </c>
      <c r="E735" s="37" t="s">
        <v>367</v>
      </c>
      <c r="F735" s="28"/>
      <c r="G735" s="26">
        <f>SUM(G736)</f>
        <v>66.7</v>
      </c>
      <c r="H735" s="26" t="e">
        <f>SUM(H736)</f>
        <v>#REF!</v>
      </c>
      <c r="I735" s="26" t="e">
        <f t="shared" si="23"/>
        <v>#REF!</v>
      </c>
    </row>
    <row r="736" spans="1:9" ht="29.25" customHeight="1">
      <c r="A736" s="285" t="s">
        <v>493</v>
      </c>
      <c r="B736" s="23"/>
      <c r="C736" s="37" t="s">
        <v>971</v>
      </c>
      <c r="D736" s="37" t="s">
        <v>971</v>
      </c>
      <c r="E736" s="37" t="s">
        <v>368</v>
      </c>
      <c r="F736" s="28"/>
      <c r="G736" s="26">
        <f>SUM(G737)</f>
        <v>66.7</v>
      </c>
      <c r="H736" s="26" t="e">
        <f>SUM(H737:H738)</f>
        <v>#REF!</v>
      </c>
      <c r="I736" s="26" t="e">
        <f t="shared" si="23"/>
        <v>#REF!</v>
      </c>
    </row>
    <row r="737" spans="1:9" ht="18.75" customHeight="1">
      <c r="A737" s="297" t="s">
        <v>494</v>
      </c>
      <c r="B737" s="23"/>
      <c r="C737" s="37" t="s">
        <v>971</v>
      </c>
      <c r="D737" s="37" t="s">
        <v>971</v>
      </c>
      <c r="E737" s="37" t="s">
        <v>368</v>
      </c>
      <c r="F737" s="28" t="s">
        <v>142</v>
      </c>
      <c r="G737" s="26">
        <v>66.7</v>
      </c>
      <c r="H737" s="26">
        <v>6864.8</v>
      </c>
      <c r="I737" s="26">
        <f t="shared" si="23"/>
        <v>10292.053973013493</v>
      </c>
    </row>
    <row r="738" spans="1:9" s="85" customFormat="1" ht="15">
      <c r="A738" s="299" t="s">
        <v>704</v>
      </c>
      <c r="B738" s="23"/>
      <c r="C738" s="84" t="s">
        <v>998</v>
      </c>
      <c r="D738" s="84" t="s">
        <v>705</v>
      </c>
      <c r="E738" s="84"/>
      <c r="F738" s="49"/>
      <c r="G738" s="54">
        <f>SUM(G739+G743+G754+G829+G845)</f>
        <v>755892.7999999998</v>
      </c>
      <c r="H738" s="54" t="e">
        <f>SUM(H739+H743+H754+H829+H845)</f>
        <v>#REF!</v>
      </c>
      <c r="I738" s="26" t="e">
        <f aca="true" t="shared" si="24" ref="I738:I801">SUM(H738/G738*100)</f>
        <v>#REF!</v>
      </c>
    </row>
    <row r="739" spans="1:9" ht="15">
      <c r="A739" s="299" t="s">
        <v>706</v>
      </c>
      <c r="B739" s="23"/>
      <c r="C739" s="84" t="s">
        <v>998</v>
      </c>
      <c r="D739" s="84" t="s">
        <v>1140</v>
      </c>
      <c r="E739" s="84"/>
      <c r="F739" s="49"/>
      <c r="G739" s="54">
        <f aca="true" t="shared" si="25" ref="G739:H741">SUM(G740)</f>
        <v>2739.6</v>
      </c>
      <c r="H739" s="54">
        <f t="shared" si="25"/>
        <v>1203.5</v>
      </c>
      <c r="I739" s="26">
        <f t="shared" si="24"/>
        <v>43.929770769455395</v>
      </c>
    </row>
    <row r="740" spans="1:9" ht="15">
      <c r="A740" s="296" t="s">
        <v>707</v>
      </c>
      <c r="B740" s="23"/>
      <c r="C740" s="24" t="s">
        <v>998</v>
      </c>
      <c r="D740" s="24" t="s">
        <v>1140</v>
      </c>
      <c r="E740" s="24" t="s">
        <v>708</v>
      </c>
      <c r="F740" s="49"/>
      <c r="G740" s="26">
        <f t="shared" si="25"/>
        <v>2739.6</v>
      </c>
      <c r="H740" s="26">
        <f t="shared" si="25"/>
        <v>1203.5</v>
      </c>
      <c r="I740" s="26">
        <f t="shared" si="24"/>
        <v>43.929770769455395</v>
      </c>
    </row>
    <row r="741" spans="1:9" s="82" customFormat="1" ht="28.5">
      <c r="A741" s="296" t="s">
        <v>709</v>
      </c>
      <c r="B741" s="66"/>
      <c r="C741" s="24" t="s">
        <v>998</v>
      </c>
      <c r="D741" s="24" t="s">
        <v>1140</v>
      </c>
      <c r="E741" s="24" t="s">
        <v>710</v>
      </c>
      <c r="F741" s="49"/>
      <c r="G741" s="26">
        <f t="shared" si="25"/>
        <v>2739.6</v>
      </c>
      <c r="H741" s="26">
        <f t="shared" si="25"/>
        <v>1203.5</v>
      </c>
      <c r="I741" s="26">
        <f t="shared" si="24"/>
        <v>43.929770769455395</v>
      </c>
    </row>
    <row r="742" spans="1:9" s="85" customFormat="1" ht="18" customHeight="1">
      <c r="A742" s="285" t="s">
        <v>960</v>
      </c>
      <c r="B742" s="23"/>
      <c r="C742" s="24" t="s">
        <v>998</v>
      </c>
      <c r="D742" s="24" t="s">
        <v>1140</v>
      </c>
      <c r="E742" s="24" t="s">
        <v>710</v>
      </c>
      <c r="F742" s="49" t="s">
        <v>961</v>
      </c>
      <c r="G742" s="26">
        <v>2739.6</v>
      </c>
      <c r="H742" s="26">
        <v>1203.5</v>
      </c>
      <c r="I742" s="26">
        <f t="shared" si="24"/>
        <v>43.929770769455395</v>
      </c>
    </row>
    <row r="743" spans="1:9" s="85" customFormat="1" ht="15">
      <c r="A743" s="285" t="s">
        <v>711</v>
      </c>
      <c r="B743" s="23"/>
      <c r="C743" s="33" t="s">
        <v>998</v>
      </c>
      <c r="D743" s="33" t="s">
        <v>1142</v>
      </c>
      <c r="E743" s="24"/>
      <c r="F743" s="49"/>
      <c r="G743" s="54">
        <f>SUM(G744+G749)</f>
        <v>32248</v>
      </c>
      <c r="H743" s="54" t="e">
        <f>SUM(H744+H749)</f>
        <v>#REF!</v>
      </c>
      <c r="I743" s="26" t="e">
        <f t="shared" si="24"/>
        <v>#REF!</v>
      </c>
    </row>
    <row r="744" spans="1:9" s="97" customFormat="1" ht="20.25" customHeight="1" hidden="1">
      <c r="A744" s="302" t="s">
        <v>306</v>
      </c>
      <c r="B744" s="23"/>
      <c r="C744" s="33" t="s">
        <v>998</v>
      </c>
      <c r="D744" s="33" t="s">
        <v>1142</v>
      </c>
      <c r="E744" s="33" t="s">
        <v>307</v>
      </c>
      <c r="F744" s="103"/>
      <c r="G744" s="54"/>
      <c r="H744" s="54"/>
      <c r="I744" s="26" t="e">
        <f t="shared" si="24"/>
        <v>#DIV/0!</v>
      </c>
    </row>
    <row r="745" spans="1:9" ht="28.5" hidden="1">
      <c r="A745" s="302" t="s">
        <v>1019</v>
      </c>
      <c r="B745" s="23"/>
      <c r="C745" s="37" t="s">
        <v>998</v>
      </c>
      <c r="D745" s="37" t="s">
        <v>1142</v>
      </c>
      <c r="E745" s="37" t="s">
        <v>1020</v>
      </c>
      <c r="F745" s="28"/>
      <c r="G745" s="26">
        <f>SUM(G746+G747)</f>
        <v>0</v>
      </c>
      <c r="H745" s="26">
        <f>SUM(H746+H747)</f>
        <v>0</v>
      </c>
      <c r="I745" s="26" t="e">
        <f t="shared" si="24"/>
        <v>#DIV/0!</v>
      </c>
    </row>
    <row r="746" spans="1:9" ht="15" hidden="1">
      <c r="A746" s="291" t="s">
        <v>141</v>
      </c>
      <c r="B746" s="23"/>
      <c r="C746" s="37" t="s">
        <v>998</v>
      </c>
      <c r="D746" s="37" t="s">
        <v>1142</v>
      </c>
      <c r="E746" s="37" t="s">
        <v>1020</v>
      </c>
      <c r="F746" s="103" t="s">
        <v>142</v>
      </c>
      <c r="G746" s="26"/>
      <c r="H746" s="26"/>
      <c r="I746" s="26" t="e">
        <f t="shared" si="24"/>
        <v>#DIV/0!</v>
      </c>
    </row>
    <row r="747" spans="1:9" ht="33" customHeight="1" hidden="1">
      <c r="A747" s="302" t="s">
        <v>1021</v>
      </c>
      <c r="B747" s="23"/>
      <c r="C747" s="37" t="s">
        <v>998</v>
      </c>
      <c r="D747" s="37" t="s">
        <v>1142</v>
      </c>
      <c r="E747" s="37" t="s">
        <v>1022</v>
      </c>
      <c r="F747" s="28"/>
      <c r="G747" s="26">
        <f>SUM(G748)</f>
        <v>0</v>
      </c>
      <c r="H747" s="26">
        <f>SUM(H748)</f>
        <v>0</v>
      </c>
      <c r="I747" s="26" t="e">
        <f t="shared" si="24"/>
        <v>#DIV/0!</v>
      </c>
    </row>
    <row r="748" spans="1:9" ht="15" hidden="1">
      <c r="A748" s="291" t="s">
        <v>141</v>
      </c>
      <c r="B748" s="23"/>
      <c r="C748" s="37" t="s">
        <v>998</v>
      </c>
      <c r="D748" s="37" t="s">
        <v>1142</v>
      </c>
      <c r="E748" s="37" t="s">
        <v>1022</v>
      </c>
      <c r="F748" s="103" t="s">
        <v>142</v>
      </c>
      <c r="G748" s="26"/>
      <c r="H748" s="26"/>
      <c r="I748" s="26" t="e">
        <f t="shared" si="24"/>
        <v>#DIV/0!</v>
      </c>
    </row>
    <row r="749" spans="1:9" ht="15">
      <c r="A749" s="302" t="s">
        <v>306</v>
      </c>
      <c r="B749" s="23"/>
      <c r="C749" s="33" t="s">
        <v>998</v>
      </c>
      <c r="D749" s="33" t="s">
        <v>1142</v>
      </c>
      <c r="E749" s="33" t="s">
        <v>1023</v>
      </c>
      <c r="F749" s="103"/>
      <c r="G749" s="26">
        <f>SUM(G750)</f>
        <v>32248</v>
      </c>
      <c r="H749" s="26" t="e">
        <f>SUM(H750+H752)</f>
        <v>#REF!</v>
      </c>
      <c r="I749" s="26" t="e">
        <f t="shared" si="24"/>
        <v>#REF!</v>
      </c>
    </row>
    <row r="750" spans="1:9" ht="28.5">
      <c r="A750" s="291" t="s">
        <v>493</v>
      </c>
      <c r="B750" s="23"/>
      <c r="C750" s="37" t="s">
        <v>998</v>
      </c>
      <c r="D750" s="37" t="s">
        <v>1142</v>
      </c>
      <c r="E750" s="37" t="s">
        <v>1024</v>
      </c>
      <c r="F750" s="103"/>
      <c r="G750" s="26">
        <f>SUM(G751+G753)</f>
        <v>32248</v>
      </c>
      <c r="H750" s="26" t="e">
        <f>SUM(#REF!)</f>
        <v>#REF!</v>
      </c>
      <c r="I750" s="26" t="e">
        <f t="shared" si="24"/>
        <v>#REF!</v>
      </c>
    </row>
    <row r="751" spans="1:9" ht="15">
      <c r="A751" s="291" t="s">
        <v>494</v>
      </c>
      <c r="B751" s="23"/>
      <c r="C751" s="37" t="s">
        <v>998</v>
      </c>
      <c r="D751" s="37" t="s">
        <v>1142</v>
      </c>
      <c r="E751" s="37" t="s">
        <v>1024</v>
      </c>
      <c r="F751" s="103" t="s">
        <v>142</v>
      </c>
      <c r="G751" s="26">
        <v>1723.3</v>
      </c>
      <c r="H751" s="26"/>
      <c r="I751" s="26"/>
    </row>
    <row r="752" spans="1:9" ht="28.5">
      <c r="A752" s="291" t="s">
        <v>1025</v>
      </c>
      <c r="B752" s="23"/>
      <c r="C752" s="37" t="s">
        <v>998</v>
      </c>
      <c r="D752" s="37" t="s">
        <v>1142</v>
      </c>
      <c r="E752" s="37" t="s">
        <v>1026</v>
      </c>
      <c r="F752" s="103"/>
      <c r="G752" s="26">
        <f>SUM(G753)</f>
        <v>30524.7</v>
      </c>
      <c r="H752" s="26">
        <f>SUM(H753)</f>
        <v>16618.3</v>
      </c>
      <c r="I752" s="26">
        <f t="shared" si="24"/>
        <v>54.44214029949516</v>
      </c>
    </row>
    <row r="753" spans="1:9" ht="15">
      <c r="A753" s="291" t="s">
        <v>494</v>
      </c>
      <c r="B753" s="23"/>
      <c r="C753" s="37" t="s">
        <v>998</v>
      </c>
      <c r="D753" s="37" t="s">
        <v>1142</v>
      </c>
      <c r="E753" s="37" t="s">
        <v>1026</v>
      </c>
      <c r="F753" s="103" t="s">
        <v>142</v>
      </c>
      <c r="G753" s="26">
        <v>30524.7</v>
      </c>
      <c r="H753" s="26">
        <v>16618.3</v>
      </c>
      <c r="I753" s="26">
        <f t="shared" si="24"/>
        <v>54.44214029949516</v>
      </c>
    </row>
    <row r="754" spans="1:9" ht="15">
      <c r="A754" s="299" t="s">
        <v>1027</v>
      </c>
      <c r="B754" s="23"/>
      <c r="C754" s="84" t="s">
        <v>998</v>
      </c>
      <c r="D754" s="84" t="s">
        <v>1150</v>
      </c>
      <c r="E754" s="84"/>
      <c r="F754" s="49"/>
      <c r="G754" s="54">
        <f>SUM(G758+G823+G826+G755)</f>
        <v>662846.4999999999</v>
      </c>
      <c r="H754" s="54">
        <f>SUM(H758+H823+H826+H755)</f>
        <v>443096.29999999993</v>
      </c>
      <c r="I754" s="26">
        <f t="shared" si="24"/>
        <v>66.84749787469649</v>
      </c>
    </row>
    <row r="755" spans="1:9" ht="15" hidden="1">
      <c r="A755" s="285" t="s">
        <v>660</v>
      </c>
      <c r="B755" s="23"/>
      <c r="C755" s="84" t="s">
        <v>998</v>
      </c>
      <c r="D755" s="84" t="s">
        <v>1150</v>
      </c>
      <c r="E755" s="24" t="s">
        <v>662</v>
      </c>
      <c r="F755" s="25"/>
      <c r="G755" s="26">
        <f>SUM(G757)</f>
        <v>0</v>
      </c>
      <c r="H755" s="26">
        <f>SUM(H757)</f>
        <v>200</v>
      </c>
      <c r="I755" s="26" t="e">
        <f t="shared" si="24"/>
        <v>#DIV/0!</v>
      </c>
    </row>
    <row r="756" spans="1:9" ht="15" hidden="1">
      <c r="A756" s="285" t="s">
        <v>638</v>
      </c>
      <c r="B756" s="23"/>
      <c r="C756" s="84" t="s">
        <v>998</v>
      </c>
      <c r="D756" s="84" t="s">
        <v>1150</v>
      </c>
      <c r="E756" s="24" t="s">
        <v>639</v>
      </c>
      <c r="F756" s="25"/>
      <c r="G756" s="26">
        <f>SUM(G757)</f>
        <v>0</v>
      </c>
      <c r="H756" s="26">
        <f>SUM(H757)</f>
        <v>200</v>
      </c>
      <c r="I756" s="26" t="e">
        <f t="shared" si="24"/>
        <v>#DIV/0!</v>
      </c>
    </row>
    <row r="757" spans="1:9" ht="15" hidden="1">
      <c r="A757" s="285" t="s">
        <v>960</v>
      </c>
      <c r="B757" s="36"/>
      <c r="C757" s="84" t="s">
        <v>998</v>
      </c>
      <c r="D757" s="84" t="s">
        <v>1150</v>
      </c>
      <c r="E757" s="24" t="s">
        <v>639</v>
      </c>
      <c r="F757" s="28" t="s">
        <v>961</v>
      </c>
      <c r="G757" s="26"/>
      <c r="H757" s="26">
        <v>200</v>
      </c>
      <c r="I757" s="26" t="e">
        <f t="shared" si="24"/>
        <v>#DIV/0!</v>
      </c>
    </row>
    <row r="758" spans="1:9" ht="15">
      <c r="A758" s="285" t="s">
        <v>1028</v>
      </c>
      <c r="B758" s="23"/>
      <c r="C758" s="24" t="s">
        <v>998</v>
      </c>
      <c r="D758" s="24" t="s">
        <v>1150</v>
      </c>
      <c r="E758" s="24" t="s">
        <v>1029</v>
      </c>
      <c r="F758" s="25"/>
      <c r="G758" s="26">
        <f>SUM(G759+G761+G763+G769+G771+G788+G794+G796+G798+G819+G774+G776+G782+G784+G790+G792+G780+G778+G786+G765+G767)</f>
        <v>656745.8999999999</v>
      </c>
      <c r="H758" s="26">
        <f>SUM(H759+H761+H763+H769+H771+H788+H794+H796+H798+H819+H774+H776+H782+H784+H790+H792+H780+H778+H786+H765+H767)</f>
        <v>438649.6</v>
      </c>
      <c r="I758" s="26">
        <f t="shared" si="24"/>
        <v>66.79137243186445</v>
      </c>
    </row>
    <row r="759" spans="1:9" ht="63.75" customHeight="1" hidden="1">
      <c r="A759" s="301" t="s">
        <v>1030</v>
      </c>
      <c r="B759" s="23"/>
      <c r="C759" s="24" t="s">
        <v>998</v>
      </c>
      <c r="D759" s="24" t="s">
        <v>1150</v>
      </c>
      <c r="E759" s="24" t="s">
        <v>1031</v>
      </c>
      <c r="F759" s="25"/>
      <c r="G759" s="26">
        <f>SUM(G760:G760)</f>
        <v>0</v>
      </c>
      <c r="H759" s="26">
        <f>SUM(H760:H760)</f>
        <v>0</v>
      </c>
      <c r="I759" s="26" t="e">
        <f t="shared" si="24"/>
        <v>#DIV/0!</v>
      </c>
    </row>
    <row r="760" spans="1:9" ht="15" hidden="1">
      <c r="A760" s="285" t="s">
        <v>960</v>
      </c>
      <c r="B760" s="23"/>
      <c r="C760" s="24" t="s">
        <v>998</v>
      </c>
      <c r="D760" s="24" t="s">
        <v>1150</v>
      </c>
      <c r="E760" s="24" t="s">
        <v>1031</v>
      </c>
      <c r="F760" s="25" t="s">
        <v>961</v>
      </c>
      <c r="G760" s="26"/>
      <c r="H760" s="26"/>
      <c r="I760" s="26" t="e">
        <f t="shared" si="24"/>
        <v>#DIV/0!</v>
      </c>
    </row>
    <row r="761" spans="1:9" ht="42.75" hidden="1">
      <c r="A761" s="285" t="s">
        <v>1032</v>
      </c>
      <c r="B761" s="23"/>
      <c r="C761" s="24" t="s">
        <v>998</v>
      </c>
      <c r="D761" s="24" t="s">
        <v>1150</v>
      </c>
      <c r="E761" s="24" t="s">
        <v>1033</v>
      </c>
      <c r="F761" s="25"/>
      <c r="G761" s="26">
        <f>SUM(G762:G762)</f>
        <v>0</v>
      </c>
      <c r="H761" s="26">
        <f>SUM(H762:H762)</f>
        <v>0</v>
      </c>
      <c r="I761" s="26" t="e">
        <f t="shared" si="24"/>
        <v>#DIV/0!</v>
      </c>
    </row>
    <row r="762" spans="1:9" ht="15" hidden="1">
      <c r="A762" s="285" t="s">
        <v>960</v>
      </c>
      <c r="B762" s="23"/>
      <c r="C762" s="24" t="s">
        <v>998</v>
      </c>
      <c r="D762" s="24" t="s">
        <v>1150</v>
      </c>
      <c r="E762" s="24" t="s">
        <v>1033</v>
      </c>
      <c r="F762" s="25" t="s">
        <v>961</v>
      </c>
      <c r="G762" s="26"/>
      <c r="H762" s="26"/>
      <c r="I762" s="26" t="e">
        <f t="shared" si="24"/>
        <v>#DIV/0!</v>
      </c>
    </row>
    <row r="763" spans="1:9" ht="42.75" hidden="1">
      <c r="A763" s="285" t="s">
        <v>1034</v>
      </c>
      <c r="B763" s="30"/>
      <c r="C763" s="37" t="s">
        <v>998</v>
      </c>
      <c r="D763" s="24" t="s">
        <v>1150</v>
      </c>
      <c r="E763" s="24" t="s">
        <v>1035</v>
      </c>
      <c r="F763" s="25"/>
      <c r="G763" s="26">
        <f>SUM(G764)</f>
        <v>0</v>
      </c>
      <c r="H763" s="26">
        <f>SUM(H764)</f>
        <v>0</v>
      </c>
      <c r="I763" s="26" t="e">
        <f t="shared" si="24"/>
        <v>#DIV/0!</v>
      </c>
    </row>
    <row r="764" spans="1:9" ht="15" hidden="1">
      <c r="A764" s="285" t="s">
        <v>960</v>
      </c>
      <c r="B764" s="30"/>
      <c r="C764" s="37" t="s">
        <v>998</v>
      </c>
      <c r="D764" s="24" t="s">
        <v>1150</v>
      </c>
      <c r="E764" s="24" t="s">
        <v>1035</v>
      </c>
      <c r="F764" s="25" t="s">
        <v>961</v>
      </c>
      <c r="G764" s="26"/>
      <c r="H764" s="26"/>
      <c r="I764" s="26" t="e">
        <f t="shared" si="24"/>
        <v>#DIV/0!</v>
      </c>
    </row>
    <row r="765" spans="1:9" ht="90" customHeight="1">
      <c r="A765" s="285" t="s">
        <v>1038</v>
      </c>
      <c r="B765" s="30"/>
      <c r="C765" s="37" t="s">
        <v>998</v>
      </c>
      <c r="D765" s="24" t="s">
        <v>1150</v>
      </c>
      <c r="E765" s="24" t="s">
        <v>1039</v>
      </c>
      <c r="F765" s="25"/>
      <c r="G765" s="26">
        <f>SUM(G766)</f>
        <v>1305.8</v>
      </c>
      <c r="H765" s="26">
        <f>SUM(H766)</f>
        <v>634.3</v>
      </c>
      <c r="I765" s="26">
        <f t="shared" si="24"/>
        <v>48.575585847756166</v>
      </c>
    </row>
    <row r="766" spans="1:9" ht="15">
      <c r="A766" s="285" t="s">
        <v>960</v>
      </c>
      <c r="B766" s="30"/>
      <c r="C766" s="37" t="s">
        <v>998</v>
      </c>
      <c r="D766" s="24" t="s">
        <v>1150</v>
      </c>
      <c r="E766" s="24" t="s">
        <v>1039</v>
      </c>
      <c r="F766" s="25" t="s">
        <v>961</v>
      </c>
      <c r="G766" s="26">
        <v>1305.8</v>
      </c>
      <c r="H766" s="26">
        <v>634.3</v>
      </c>
      <c r="I766" s="26">
        <f t="shared" si="24"/>
        <v>48.575585847756166</v>
      </c>
    </row>
    <row r="767" spans="1:9" ht="66" customHeight="1">
      <c r="A767" s="285" t="s">
        <v>244</v>
      </c>
      <c r="B767" s="30"/>
      <c r="C767" s="37" t="s">
        <v>998</v>
      </c>
      <c r="D767" s="24" t="s">
        <v>1150</v>
      </c>
      <c r="E767" s="24" t="s">
        <v>245</v>
      </c>
      <c r="F767" s="25"/>
      <c r="G767" s="26">
        <f>SUM(G768)</f>
        <v>385.6</v>
      </c>
      <c r="H767" s="26">
        <f>SUM(H768)</f>
        <v>542.8</v>
      </c>
      <c r="I767" s="26">
        <f t="shared" si="24"/>
        <v>140.76763485477179</v>
      </c>
    </row>
    <row r="768" spans="1:9" ht="15">
      <c r="A768" s="285" t="s">
        <v>960</v>
      </c>
      <c r="B768" s="30"/>
      <c r="C768" s="37" t="s">
        <v>998</v>
      </c>
      <c r="D768" s="24" t="s">
        <v>1150</v>
      </c>
      <c r="E768" s="24" t="s">
        <v>245</v>
      </c>
      <c r="F768" s="25" t="s">
        <v>961</v>
      </c>
      <c r="G768" s="26">
        <v>385.6</v>
      </c>
      <c r="H768" s="26">
        <v>542.8</v>
      </c>
      <c r="I768" s="26">
        <f t="shared" si="24"/>
        <v>140.76763485477179</v>
      </c>
    </row>
    <row r="769" spans="1:9" s="97" customFormat="1" ht="57">
      <c r="A769" s="287" t="s">
        <v>728</v>
      </c>
      <c r="B769" s="23"/>
      <c r="C769" s="37" t="s">
        <v>998</v>
      </c>
      <c r="D769" s="24" t="s">
        <v>1150</v>
      </c>
      <c r="E769" s="24" t="s">
        <v>729</v>
      </c>
      <c r="F769" s="25"/>
      <c r="G769" s="26">
        <f>SUM(G770)</f>
        <v>1994.3</v>
      </c>
      <c r="H769" s="26">
        <f>SUM(H770)</f>
        <v>1313.1</v>
      </c>
      <c r="I769" s="26">
        <f t="shared" si="24"/>
        <v>65.84265155693727</v>
      </c>
    </row>
    <row r="770" spans="1:9" s="97" customFormat="1" ht="15">
      <c r="A770" s="285" t="s">
        <v>960</v>
      </c>
      <c r="B770" s="23"/>
      <c r="C770" s="37" t="s">
        <v>998</v>
      </c>
      <c r="D770" s="24" t="s">
        <v>1150</v>
      </c>
      <c r="E770" s="24" t="s">
        <v>729</v>
      </c>
      <c r="F770" s="25" t="s">
        <v>961</v>
      </c>
      <c r="G770" s="26">
        <v>1994.3</v>
      </c>
      <c r="H770" s="26">
        <v>1313.1</v>
      </c>
      <c r="I770" s="26">
        <f t="shared" si="24"/>
        <v>65.84265155693727</v>
      </c>
    </row>
    <row r="771" spans="1:9" s="97" customFormat="1" ht="28.5">
      <c r="A771" s="296" t="s">
        <v>730</v>
      </c>
      <c r="B771" s="23"/>
      <c r="C771" s="37" t="s">
        <v>998</v>
      </c>
      <c r="D771" s="24" t="s">
        <v>1150</v>
      </c>
      <c r="E771" s="24" t="s">
        <v>731</v>
      </c>
      <c r="F771" s="25"/>
      <c r="G771" s="26">
        <f>SUM(G772)</f>
        <v>10693.4</v>
      </c>
      <c r="H771" s="26">
        <f>SUM(H772)</f>
        <v>6301</v>
      </c>
      <c r="I771" s="26">
        <f t="shared" si="24"/>
        <v>58.92419623319057</v>
      </c>
    </row>
    <row r="772" spans="1:9" s="97" customFormat="1" ht="18" customHeight="1">
      <c r="A772" s="285" t="s">
        <v>960</v>
      </c>
      <c r="B772" s="23"/>
      <c r="C772" s="37" t="s">
        <v>998</v>
      </c>
      <c r="D772" s="24" t="s">
        <v>1150</v>
      </c>
      <c r="E772" s="24" t="s">
        <v>731</v>
      </c>
      <c r="F772" s="25" t="s">
        <v>961</v>
      </c>
      <c r="G772" s="26">
        <v>10693.4</v>
      </c>
      <c r="H772" s="26">
        <v>6301</v>
      </c>
      <c r="I772" s="26">
        <f t="shared" si="24"/>
        <v>58.92419623319057</v>
      </c>
    </row>
    <row r="773" spans="1:9" s="97" customFormat="1" ht="37.5" customHeight="1" hidden="1">
      <c r="A773" s="285"/>
      <c r="B773" s="23"/>
      <c r="C773" s="37"/>
      <c r="D773" s="24"/>
      <c r="E773" s="24"/>
      <c r="F773" s="25"/>
      <c r="G773" s="26"/>
      <c r="H773" s="26"/>
      <c r="I773" s="26" t="e">
        <f t="shared" si="24"/>
        <v>#DIV/0!</v>
      </c>
    </row>
    <row r="774" spans="1:9" s="97" customFormat="1" ht="65.25" customHeight="1">
      <c r="A774" s="285" t="s">
        <v>866</v>
      </c>
      <c r="B774" s="23"/>
      <c r="C774" s="37" t="s">
        <v>998</v>
      </c>
      <c r="D774" s="24" t="s">
        <v>1150</v>
      </c>
      <c r="E774" s="24" t="s">
        <v>733</v>
      </c>
      <c r="F774" s="25"/>
      <c r="G774" s="26">
        <f>SUM(G775)</f>
        <v>25101.4</v>
      </c>
      <c r="H774" s="26">
        <f>SUM(H775)</f>
        <v>18786.9</v>
      </c>
      <c r="I774" s="26">
        <f t="shared" si="24"/>
        <v>74.84403260375916</v>
      </c>
    </row>
    <row r="775" spans="1:9" s="97" customFormat="1" ht="19.5" customHeight="1">
      <c r="A775" s="285" t="s">
        <v>960</v>
      </c>
      <c r="B775" s="23"/>
      <c r="C775" s="37" t="s">
        <v>998</v>
      </c>
      <c r="D775" s="24" t="s">
        <v>1150</v>
      </c>
      <c r="E775" s="24" t="s">
        <v>733</v>
      </c>
      <c r="F775" s="25" t="s">
        <v>961</v>
      </c>
      <c r="G775" s="26">
        <v>25101.4</v>
      </c>
      <c r="H775" s="26">
        <v>18786.9</v>
      </c>
      <c r="I775" s="26">
        <f t="shared" si="24"/>
        <v>74.84403260375916</v>
      </c>
    </row>
    <row r="776" spans="1:9" s="97" customFormat="1" ht="72.75" customHeight="1">
      <c r="A776" s="285" t="s">
        <v>867</v>
      </c>
      <c r="B776" s="23"/>
      <c r="C776" s="37" t="s">
        <v>998</v>
      </c>
      <c r="D776" s="24" t="s">
        <v>1150</v>
      </c>
      <c r="E776" s="24" t="s">
        <v>734</v>
      </c>
      <c r="F776" s="25"/>
      <c r="G776" s="26">
        <f>SUM(G777)</f>
        <v>8243.1</v>
      </c>
      <c r="H776" s="26">
        <f>SUM(H777)</f>
        <v>15760.4</v>
      </c>
      <c r="I776" s="26">
        <f t="shared" si="24"/>
        <v>191.1950601108806</v>
      </c>
    </row>
    <row r="777" spans="1:9" s="97" customFormat="1" ht="19.5" customHeight="1">
      <c r="A777" s="285" t="s">
        <v>960</v>
      </c>
      <c r="B777" s="23"/>
      <c r="C777" s="37" t="s">
        <v>998</v>
      </c>
      <c r="D777" s="24" t="s">
        <v>1150</v>
      </c>
      <c r="E777" s="24" t="s">
        <v>734</v>
      </c>
      <c r="F777" s="25" t="s">
        <v>961</v>
      </c>
      <c r="G777" s="26">
        <v>8243.1</v>
      </c>
      <c r="H777" s="26">
        <v>15760.4</v>
      </c>
      <c r="I777" s="26">
        <f t="shared" si="24"/>
        <v>191.1950601108806</v>
      </c>
    </row>
    <row r="778" spans="1:9" s="97" customFormat="1" ht="67.5" customHeight="1">
      <c r="A778" s="285" t="s">
        <v>47</v>
      </c>
      <c r="B778" s="23"/>
      <c r="C778" s="37" t="s">
        <v>998</v>
      </c>
      <c r="D778" s="24" t="s">
        <v>1150</v>
      </c>
      <c r="E778" s="24" t="s">
        <v>48</v>
      </c>
      <c r="F778" s="25"/>
      <c r="G778" s="26">
        <f>SUM(G779)</f>
        <v>99144.5</v>
      </c>
      <c r="H778" s="26">
        <f>SUM(H779)</f>
        <v>40636.1</v>
      </c>
      <c r="I778" s="26">
        <f t="shared" si="24"/>
        <v>40.986741574167</v>
      </c>
    </row>
    <row r="779" spans="1:9" s="97" customFormat="1" ht="21.75" customHeight="1">
      <c r="A779" s="285" t="s">
        <v>960</v>
      </c>
      <c r="B779" s="23"/>
      <c r="C779" s="37" t="s">
        <v>998</v>
      </c>
      <c r="D779" s="24" t="s">
        <v>1150</v>
      </c>
      <c r="E779" s="24" t="s">
        <v>48</v>
      </c>
      <c r="F779" s="25" t="s">
        <v>961</v>
      </c>
      <c r="G779" s="26">
        <v>99144.5</v>
      </c>
      <c r="H779" s="26">
        <v>40636.1</v>
      </c>
      <c r="I779" s="26">
        <f t="shared" si="24"/>
        <v>40.986741574167</v>
      </c>
    </row>
    <row r="780" spans="1:9" s="97" customFormat="1" ht="37.5" customHeight="1">
      <c r="A780" s="285" t="s">
        <v>49</v>
      </c>
      <c r="B780" s="23"/>
      <c r="C780" s="37" t="s">
        <v>998</v>
      </c>
      <c r="D780" s="24" t="s">
        <v>1150</v>
      </c>
      <c r="E780" s="24" t="s">
        <v>50</v>
      </c>
      <c r="F780" s="25"/>
      <c r="G780" s="26">
        <f>SUM(G781)</f>
        <v>2954</v>
      </c>
      <c r="H780" s="26">
        <f>SUM(H781)</f>
        <v>191.3</v>
      </c>
      <c r="I780" s="26">
        <f t="shared" si="24"/>
        <v>6.475964793500339</v>
      </c>
    </row>
    <row r="781" spans="1:9" s="97" customFormat="1" ht="19.5" customHeight="1">
      <c r="A781" s="285" t="s">
        <v>960</v>
      </c>
      <c r="B781" s="23"/>
      <c r="C781" s="37" t="s">
        <v>998</v>
      </c>
      <c r="D781" s="24" t="s">
        <v>1150</v>
      </c>
      <c r="E781" s="24" t="s">
        <v>50</v>
      </c>
      <c r="F781" s="25" t="s">
        <v>961</v>
      </c>
      <c r="G781" s="26">
        <v>2954</v>
      </c>
      <c r="H781" s="26">
        <v>191.3</v>
      </c>
      <c r="I781" s="26">
        <f t="shared" si="24"/>
        <v>6.475964793500339</v>
      </c>
    </row>
    <row r="782" spans="1:9" s="97" customFormat="1" ht="48.75" customHeight="1">
      <c r="A782" s="285" t="s">
        <v>51</v>
      </c>
      <c r="B782" s="23"/>
      <c r="C782" s="37" t="s">
        <v>998</v>
      </c>
      <c r="D782" s="24" t="s">
        <v>1150</v>
      </c>
      <c r="E782" s="24" t="s">
        <v>52</v>
      </c>
      <c r="F782" s="25"/>
      <c r="G782" s="26">
        <f>SUM(G783)</f>
        <v>7446.2</v>
      </c>
      <c r="H782" s="26">
        <f>SUM(H783)</f>
        <v>4180.7</v>
      </c>
      <c r="I782" s="26">
        <f t="shared" si="24"/>
        <v>56.14541645403024</v>
      </c>
    </row>
    <row r="783" spans="1:9" s="97" customFormat="1" ht="19.5" customHeight="1">
      <c r="A783" s="285" t="s">
        <v>960</v>
      </c>
      <c r="B783" s="23"/>
      <c r="C783" s="37" t="s">
        <v>998</v>
      </c>
      <c r="D783" s="24" t="s">
        <v>1150</v>
      </c>
      <c r="E783" s="24" t="s">
        <v>52</v>
      </c>
      <c r="F783" s="25" t="s">
        <v>961</v>
      </c>
      <c r="G783" s="26">
        <v>7446.2</v>
      </c>
      <c r="H783" s="26">
        <v>4180.7</v>
      </c>
      <c r="I783" s="26">
        <f t="shared" si="24"/>
        <v>56.14541645403024</v>
      </c>
    </row>
    <row r="784" spans="1:9" s="97" customFormat="1" ht="44.25" customHeight="1" hidden="1">
      <c r="A784" s="285" t="s">
        <v>1032</v>
      </c>
      <c r="B784" s="23"/>
      <c r="C784" s="37" t="s">
        <v>998</v>
      </c>
      <c r="D784" s="24" t="s">
        <v>1150</v>
      </c>
      <c r="E784" s="24" t="s">
        <v>53</v>
      </c>
      <c r="F784" s="25"/>
      <c r="G784" s="26">
        <f>SUM(G785)</f>
        <v>0</v>
      </c>
      <c r="H784" s="26">
        <f>SUM(H785)</f>
        <v>0</v>
      </c>
      <c r="I784" s="26" t="e">
        <f t="shared" si="24"/>
        <v>#DIV/0!</v>
      </c>
    </row>
    <row r="785" spans="1:9" s="97" customFormat="1" ht="19.5" customHeight="1" hidden="1">
      <c r="A785" s="285" t="s">
        <v>960</v>
      </c>
      <c r="B785" s="23"/>
      <c r="C785" s="37" t="s">
        <v>998</v>
      </c>
      <c r="D785" s="24" t="s">
        <v>1150</v>
      </c>
      <c r="E785" s="24" t="s">
        <v>53</v>
      </c>
      <c r="F785" s="25" t="s">
        <v>961</v>
      </c>
      <c r="G785" s="26"/>
      <c r="H785" s="26"/>
      <c r="I785" s="26" t="e">
        <f t="shared" si="24"/>
        <v>#DIV/0!</v>
      </c>
    </row>
    <row r="786" spans="1:9" s="97" customFormat="1" ht="116.25" customHeight="1" hidden="1">
      <c r="A786" s="285" t="s">
        <v>54</v>
      </c>
      <c r="B786" s="23"/>
      <c r="C786" s="37" t="s">
        <v>998</v>
      </c>
      <c r="D786" s="24" t="s">
        <v>1150</v>
      </c>
      <c r="E786" s="24" t="s">
        <v>55</v>
      </c>
      <c r="F786" s="25"/>
      <c r="G786" s="26">
        <f>SUM(G787)</f>
        <v>0</v>
      </c>
      <c r="H786" s="26">
        <f>SUM(H787)</f>
        <v>0</v>
      </c>
      <c r="I786" s="26" t="e">
        <f t="shared" si="24"/>
        <v>#DIV/0!</v>
      </c>
    </row>
    <row r="787" spans="1:9" s="97" customFormat="1" ht="19.5" customHeight="1" hidden="1">
      <c r="A787" s="285" t="s">
        <v>960</v>
      </c>
      <c r="B787" s="23"/>
      <c r="C787" s="37" t="s">
        <v>998</v>
      </c>
      <c r="D787" s="24" t="s">
        <v>1150</v>
      </c>
      <c r="E787" s="24" t="s">
        <v>55</v>
      </c>
      <c r="F787" s="25" t="s">
        <v>961</v>
      </c>
      <c r="G787" s="26"/>
      <c r="H787" s="26"/>
      <c r="I787" s="26" t="e">
        <f t="shared" si="24"/>
        <v>#DIV/0!</v>
      </c>
    </row>
    <row r="788" spans="1:9" ht="18" customHeight="1">
      <c r="A788" s="301" t="s">
        <v>56</v>
      </c>
      <c r="B788" s="83"/>
      <c r="C788" s="57" t="s">
        <v>998</v>
      </c>
      <c r="D788" s="57" t="s">
        <v>1150</v>
      </c>
      <c r="E788" s="57" t="s">
        <v>57</v>
      </c>
      <c r="F788" s="29"/>
      <c r="G788" s="26">
        <f>SUM(G789)</f>
        <v>9728.5</v>
      </c>
      <c r="H788" s="26">
        <f>SUM(H789)</f>
        <v>16724.6</v>
      </c>
      <c r="I788" s="26">
        <f t="shared" si="24"/>
        <v>171.91345017217452</v>
      </c>
    </row>
    <row r="789" spans="1:9" ht="16.5" customHeight="1">
      <c r="A789" s="285" t="s">
        <v>960</v>
      </c>
      <c r="B789" s="83"/>
      <c r="C789" s="57" t="s">
        <v>998</v>
      </c>
      <c r="D789" s="57" t="s">
        <v>1150</v>
      </c>
      <c r="E789" s="57" t="s">
        <v>57</v>
      </c>
      <c r="F789" s="29" t="s">
        <v>961</v>
      </c>
      <c r="G789" s="26">
        <v>9728.5</v>
      </c>
      <c r="H789" s="26">
        <v>16724.6</v>
      </c>
      <c r="I789" s="26">
        <f t="shared" si="24"/>
        <v>171.91345017217452</v>
      </c>
    </row>
    <row r="790" spans="1:9" ht="35.25" customHeight="1">
      <c r="A790" s="285" t="s">
        <v>58</v>
      </c>
      <c r="B790" s="83"/>
      <c r="C790" s="57" t="s">
        <v>998</v>
      </c>
      <c r="D790" s="57" t="s">
        <v>1150</v>
      </c>
      <c r="E790" s="57" t="s">
        <v>59</v>
      </c>
      <c r="F790" s="29"/>
      <c r="G790" s="26">
        <f>SUM(G791)</f>
        <v>5092.6</v>
      </c>
      <c r="H790" s="26">
        <f>SUM(H791)</f>
        <v>4118.3</v>
      </c>
      <c r="I790" s="26">
        <f t="shared" si="24"/>
        <v>80.86831873699093</v>
      </c>
    </row>
    <row r="791" spans="1:9" ht="15.75" customHeight="1">
      <c r="A791" s="285" t="s">
        <v>960</v>
      </c>
      <c r="B791" s="83"/>
      <c r="C791" s="57" t="s">
        <v>998</v>
      </c>
      <c r="D791" s="57" t="s">
        <v>1150</v>
      </c>
      <c r="E791" s="57" t="s">
        <v>59</v>
      </c>
      <c r="F791" s="29" t="s">
        <v>961</v>
      </c>
      <c r="G791" s="26">
        <v>5092.6</v>
      </c>
      <c r="H791" s="26">
        <v>4118.3</v>
      </c>
      <c r="I791" s="26">
        <f t="shared" si="24"/>
        <v>80.86831873699093</v>
      </c>
    </row>
    <row r="792" spans="1:9" ht="27" customHeight="1">
      <c r="A792" s="287" t="s">
        <v>902</v>
      </c>
      <c r="B792" s="23"/>
      <c r="C792" s="37" t="s">
        <v>998</v>
      </c>
      <c r="D792" s="37" t="s">
        <v>1150</v>
      </c>
      <c r="E792" s="37" t="s">
        <v>903</v>
      </c>
      <c r="F792" s="28"/>
      <c r="G792" s="26">
        <f>SUM(G793)</f>
        <v>115.7</v>
      </c>
      <c r="H792" s="26">
        <f>SUM(H793)</f>
        <v>12.8</v>
      </c>
      <c r="I792" s="26">
        <f t="shared" si="24"/>
        <v>11.063094209161624</v>
      </c>
    </row>
    <row r="793" spans="1:9" ht="19.5" customHeight="1">
      <c r="A793" s="285" t="s">
        <v>960</v>
      </c>
      <c r="B793" s="23"/>
      <c r="C793" s="37" t="s">
        <v>998</v>
      </c>
      <c r="D793" s="37" t="s">
        <v>1150</v>
      </c>
      <c r="E793" s="37" t="s">
        <v>903</v>
      </c>
      <c r="F793" s="28" t="s">
        <v>961</v>
      </c>
      <c r="G793" s="26">
        <v>115.7</v>
      </c>
      <c r="H793" s="26">
        <v>12.8</v>
      </c>
      <c r="I793" s="26">
        <f t="shared" si="24"/>
        <v>11.063094209161624</v>
      </c>
    </row>
    <row r="794" spans="1:9" ht="28.5" customHeight="1">
      <c r="A794" s="296" t="s">
        <v>904</v>
      </c>
      <c r="B794" s="23"/>
      <c r="C794" s="37" t="s">
        <v>998</v>
      </c>
      <c r="D794" s="37" t="s">
        <v>1150</v>
      </c>
      <c r="E794" s="37" t="s">
        <v>905</v>
      </c>
      <c r="F794" s="28"/>
      <c r="G794" s="26">
        <f>SUM(G795)</f>
        <v>131851.3</v>
      </c>
      <c r="H794" s="26">
        <f>SUM(H795)</f>
        <v>90050.4</v>
      </c>
      <c r="I794" s="26">
        <f t="shared" si="24"/>
        <v>68.29693753493518</v>
      </c>
    </row>
    <row r="795" spans="1:9" ht="19.5" customHeight="1">
      <c r="A795" s="285" t="s">
        <v>960</v>
      </c>
      <c r="B795" s="36"/>
      <c r="C795" s="37" t="s">
        <v>998</v>
      </c>
      <c r="D795" s="37" t="s">
        <v>1150</v>
      </c>
      <c r="E795" s="37" t="s">
        <v>905</v>
      </c>
      <c r="F795" s="28" t="s">
        <v>961</v>
      </c>
      <c r="G795" s="26">
        <v>131851.3</v>
      </c>
      <c r="H795" s="26">
        <v>90050.4</v>
      </c>
      <c r="I795" s="26">
        <f t="shared" si="24"/>
        <v>68.29693753493518</v>
      </c>
    </row>
    <row r="796" spans="1:9" ht="33.75" customHeight="1">
      <c r="A796" s="285" t="s">
        <v>906</v>
      </c>
      <c r="B796" s="23"/>
      <c r="C796" s="37" t="s">
        <v>998</v>
      </c>
      <c r="D796" s="37" t="s">
        <v>1150</v>
      </c>
      <c r="E796" s="37" t="s">
        <v>907</v>
      </c>
      <c r="F796" s="28"/>
      <c r="G796" s="26">
        <f>SUM(G797)</f>
        <v>63916.7</v>
      </c>
      <c r="H796" s="26">
        <f>SUM(H797)</f>
        <v>56493.7</v>
      </c>
      <c r="I796" s="26">
        <f t="shared" si="24"/>
        <v>88.38644673457797</v>
      </c>
    </row>
    <row r="797" spans="1:9" ht="18" customHeight="1">
      <c r="A797" s="285" t="s">
        <v>960</v>
      </c>
      <c r="B797" s="23"/>
      <c r="C797" s="37" t="s">
        <v>998</v>
      </c>
      <c r="D797" s="37" t="s">
        <v>1150</v>
      </c>
      <c r="E797" s="37" t="s">
        <v>907</v>
      </c>
      <c r="F797" s="28" t="s">
        <v>961</v>
      </c>
      <c r="G797" s="26">
        <v>63916.7</v>
      </c>
      <c r="H797" s="26">
        <v>56493.7</v>
      </c>
      <c r="I797" s="26">
        <f t="shared" si="24"/>
        <v>88.38644673457797</v>
      </c>
    </row>
    <row r="798" spans="1:9" ht="28.5" customHeight="1">
      <c r="A798" s="285" t="s">
        <v>911</v>
      </c>
      <c r="B798" s="23"/>
      <c r="C798" s="37" t="s">
        <v>998</v>
      </c>
      <c r="D798" s="37" t="s">
        <v>1150</v>
      </c>
      <c r="E798" s="37" t="s">
        <v>912</v>
      </c>
      <c r="F798" s="28"/>
      <c r="G798" s="26">
        <f>SUM(G799+G803+G805+G807+G809+G817+G815+G813+G821)</f>
        <v>288772.8</v>
      </c>
      <c r="H798" s="26">
        <f>SUM(H799+H803+H805+H807+H809+H817+H815+H813+H821)</f>
        <v>182903.19999999998</v>
      </c>
      <c r="I798" s="26">
        <f t="shared" si="24"/>
        <v>63.33809832505</v>
      </c>
    </row>
    <row r="799" spans="1:9" ht="29.25" customHeight="1">
      <c r="A799" s="287" t="s">
        <v>39</v>
      </c>
      <c r="B799" s="23"/>
      <c r="C799" s="37" t="s">
        <v>998</v>
      </c>
      <c r="D799" s="37" t="s">
        <v>1150</v>
      </c>
      <c r="E799" s="37" t="s">
        <v>40</v>
      </c>
      <c r="F799" s="28"/>
      <c r="G799" s="26">
        <f>SUM(G800)</f>
        <v>51127</v>
      </c>
      <c r="H799" s="26">
        <f>SUM(H800)</f>
        <v>37224.7</v>
      </c>
      <c r="I799" s="26">
        <f t="shared" si="24"/>
        <v>72.80830089776438</v>
      </c>
    </row>
    <row r="800" spans="1:9" ht="18" customHeight="1">
      <c r="A800" s="285" t="s">
        <v>960</v>
      </c>
      <c r="B800" s="23"/>
      <c r="C800" s="37" t="s">
        <v>998</v>
      </c>
      <c r="D800" s="37" t="s">
        <v>1150</v>
      </c>
      <c r="E800" s="37" t="s">
        <v>40</v>
      </c>
      <c r="F800" s="28" t="s">
        <v>961</v>
      </c>
      <c r="G800" s="26">
        <v>51127</v>
      </c>
      <c r="H800" s="26">
        <v>37224.7</v>
      </c>
      <c r="I800" s="26">
        <f t="shared" si="24"/>
        <v>72.80830089776438</v>
      </c>
    </row>
    <row r="801" spans="1:9" ht="57" hidden="1">
      <c r="A801" s="285" t="s">
        <v>41</v>
      </c>
      <c r="B801" s="30"/>
      <c r="C801" s="37" t="s">
        <v>998</v>
      </c>
      <c r="D801" s="24" t="s">
        <v>1150</v>
      </c>
      <c r="E801" s="37" t="s">
        <v>42</v>
      </c>
      <c r="F801" s="25"/>
      <c r="G801" s="26"/>
      <c r="H801" s="26"/>
      <c r="I801" s="26" t="e">
        <f t="shared" si="24"/>
        <v>#DIV/0!</v>
      </c>
    </row>
    <row r="802" spans="1:9" ht="15" hidden="1">
      <c r="A802" s="285" t="s">
        <v>960</v>
      </c>
      <c r="B802" s="30"/>
      <c r="C802" s="37" t="s">
        <v>998</v>
      </c>
      <c r="D802" s="24" t="s">
        <v>1150</v>
      </c>
      <c r="E802" s="37" t="s">
        <v>42</v>
      </c>
      <c r="F802" s="25" t="s">
        <v>961</v>
      </c>
      <c r="G802" s="26"/>
      <c r="H802" s="26"/>
      <c r="I802" s="26" t="e">
        <f aca="true" t="shared" si="26" ref="I802:I858">SUM(H802/G802*100)</f>
        <v>#DIV/0!</v>
      </c>
    </row>
    <row r="803" spans="1:9" ht="71.25">
      <c r="A803" s="303" t="s">
        <v>738</v>
      </c>
      <c r="B803" s="30"/>
      <c r="C803" s="37" t="s">
        <v>998</v>
      </c>
      <c r="D803" s="24" t="s">
        <v>1150</v>
      </c>
      <c r="E803" s="37" t="s">
        <v>43</v>
      </c>
      <c r="F803" s="25"/>
      <c r="G803" s="26">
        <f>SUM(G804)</f>
        <v>37409</v>
      </c>
      <c r="H803" s="26">
        <f>SUM(H804)</f>
        <v>29554</v>
      </c>
      <c r="I803" s="26">
        <f t="shared" si="26"/>
        <v>79.00237910663209</v>
      </c>
    </row>
    <row r="804" spans="1:9" ht="15">
      <c r="A804" s="285" t="s">
        <v>960</v>
      </c>
      <c r="B804" s="30"/>
      <c r="C804" s="37" t="s">
        <v>998</v>
      </c>
      <c r="D804" s="24" t="s">
        <v>1150</v>
      </c>
      <c r="E804" s="37" t="s">
        <v>43</v>
      </c>
      <c r="F804" s="25" t="s">
        <v>961</v>
      </c>
      <c r="G804" s="26">
        <v>37409</v>
      </c>
      <c r="H804" s="26">
        <v>29554</v>
      </c>
      <c r="I804" s="26">
        <f t="shared" si="26"/>
        <v>79.00237910663209</v>
      </c>
    </row>
    <row r="805" spans="1:9" ht="71.25">
      <c r="A805" s="303" t="s">
        <v>739</v>
      </c>
      <c r="B805" s="30"/>
      <c r="C805" s="37" t="s">
        <v>998</v>
      </c>
      <c r="D805" s="24" t="s">
        <v>1150</v>
      </c>
      <c r="E805" s="37" t="s">
        <v>44</v>
      </c>
      <c r="F805" s="25"/>
      <c r="G805" s="26">
        <f>SUM(G806)</f>
        <v>18822.7</v>
      </c>
      <c r="H805" s="26">
        <f>SUM(H806)</f>
        <v>37911</v>
      </c>
      <c r="I805" s="26">
        <f t="shared" si="26"/>
        <v>201.41106217492708</v>
      </c>
    </row>
    <row r="806" spans="1:9" ht="15">
      <c r="A806" s="285" t="s">
        <v>960</v>
      </c>
      <c r="B806" s="30"/>
      <c r="C806" s="37" t="s">
        <v>998</v>
      </c>
      <c r="D806" s="24" t="s">
        <v>1150</v>
      </c>
      <c r="E806" s="37" t="s">
        <v>44</v>
      </c>
      <c r="F806" s="25" t="s">
        <v>961</v>
      </c>
      <c r="G806" s="26">
        <v>18822.7</v>
      </c>
      <c r="H806" s="26">
        <v>37911</v>
      </c>
      <c r="I806" s="26">
        <f t="shared" si="26"/>
        <v>201.41106217492708</v>
      </c>
    </row>
    <row r="807" spans="1:9" ht="57" hidden="1">
      <c r="A807" s="285" t="s">
        <v>45</v>
      </c>
      <c r="B807" s="30"/>
      <c r="C807" s="37" t="s">
        <v>998</v>
      </c>
      <c r="D807" s="24" t="s">
        <v>1150</v>
      </c>
      <c r="E807" s="37" t="s">
        <v>43</v>
      </c>
      <c r="F807" s="25"/>
      <c r="G807" s="26">
        <f>SUM(G808)</f>
        <v>0</v>
      </c>
      <c r="H807" s="26">
        <f>SUM(H808)</f>
        <v>0</v>
      </c>
      <c r="I807" s="26" t="e">
        <f t="shared" si="26"/>
        <v>#DIV/0!</v>
      </c>
    </row>
    <row r="808" spans="1:9" ht="15" hidden="1">
      <c r="A808" s="285" t="s">
        <v>960</v>
      </c>
      <c r="B808" s="30"/>
      <c r="C808" s="37" t="s">
        <v>998</v>
      </c>
      <c r="D808" s="24" t="s">
        <v>1150</v>
      </c>
      <c r="E808" s="37" t="s">
        <v>43</v>
      </c>
      <c r="F808" s="25" t="s">
        <v>961</v>
      </c>
      <c r="G808" s="26"/>
      <c r="H808" s="26"/>
      <c r="I808" s="26" t="e">
        <f t="shared" si="26"/>
        <v>#DIV/0!</v>
      </c>
    </row>
    <row r="809" spans="1:9" ht="57" hidden="1">
      <c r="A809" s="285" t="s">
        <v>46</v>
      </c>
      <c r="B809" s="30"/>
      <c r="C809" s="37" t="s">
        <v>998</v>
      </c>
      <c r="D809" s="24" t="s">
        <v>1150</v>
      </c>
      <c r="E809" s="37" t="s">
        <v>44</v>
      </c>
      <c r="F809" s="25"/>
      <c r="G809" s="26">
        <f>SUM(G810)</f>
        <v>0</v>
      </c>
      <c r="H809" s="26">
        <f>SUM(H810)</f>
        <v>0</v>
      </c>
      <c r="I809" s="26" t="e">
        <f t="shared" si="26"/>
        <v>#DIV/0!</v>
      </c>
    </row>
    <row r="810" spans="1:9" ht="15" hidden="1">
      <c r="A810" s="285" t="s">
        <v>960</v>
      </c>
      <c r="B810" s="30"/>
      <c r="C810" s="37" t="s">
        <v>998</v>
      </c>
      <c r="D810" s="24" t="s">
        <v>1150</v>
      </c>
      <c r="E810" s="37" t="s">
        <v>44</v>
      </c>
      <c r="F810" s="25" t="s">
        <v>961</v>
      </c>
      <c r="G810" s="26"/>
      <c r="H810" s="26"/>
      <c r="I810" s="26" t="e">
        <f t="shared" si="26"/>
        <v>#DIV/0!</v>
      </c>
    </row>
    <row r="811" spans="1:9" ht="42.75" hidden="1">
      <c r="A811" s="287" t="s">
        <v>1050</v>
      </c>
      <c r="B811" s="23"/>
      <c r="C811" s="37" t="s">
        <v>998</v>
      </c>
      <c r="D811" s="37" t="s">
        <v>1150</v>
      </c>
      <c r="E811" s="37" t="s">
        <v>1051</v>
      </c>
      <c r="F811" s="28"/>
      <c r="G811" s="26">
        <f>SUM(G812)</f>
        <v>8082.5</v>
      </c>
      <c r="H811" s="26">
        <f>SUM(H812)</f>
        <v>8082.5</v>
      </c>
      <c r="I811" s="26">
        <f t="shared" si="26"/>
        <v>100</v>
      </c>
    </row>
    <row r="812" spans="1:9" ht="15" hidden="1">
      <c r="A812" s="285" t="s">
        <v>960</v>
      </c>
      <c r="B812" s="23"/>
      <c r="C812" s="37" t="s">
        <v>998</v>
      </c>
      <c r="D812" s="37" t="s">
        <v>1150</v>
      </c>
      <c r="E812" s="37" t="s">
        <v>1051</v>
      </c>
      <c r="F812" s="28" t="s">
        <v>961</v>
      </c>
      <c r="G812" s="26">
        <v>8082.5</v>
      </c>
      <c r="H812" s="26">
        <v>8082.5</v>
      </c>
      <c r="I812" s="26">
        <f t="shared" si="26"/>
        <v>100</v>
      </c>
    </row>
    <row r="813" spans="1:9" ht="71.25">
      <c r="A813" s="285" t="s">
        <v>1055</v>
      </c>
      <c r="B813" s="23"/>
      <c r="C813" s="37" t="s">
        <v>998</v>
      </c>
      <c r="D813" s="37" t="s">
        <v>1150</v>
      </c>
      <c r="E813" s="37" t="s">
        <v>1056</v>
      </c>
      <c r="F813" s="28"/>
      <c r="G813" s="26">
        <f>SUM(G814)</f>
        <v>168979.3</v>
      </c>
      <c r="H813" s="26">
        <f>SUM(H814)</f>
        <v>70381.4</v>
      </c>
      <c r="I813" s="26">
        <f t="shared" si="26"/>
        <v>41.650900435733845</v>
      </c>
    </row>
    <row r="814" spans="1:9" ht="15">
      <c r="A814" s="285" t="s">
        <v>960</v>
      </c>
      <c r="B814" s="23"/>
      <c r="C814" s="37" t="s">
        <v>998</v>
      </c>
      <c r="D814" s="37" t="s">
        <v>1150</v>
      </c>
      <c r="E814" s="37" t="s">
        <v>1056</v>
      </c>
      <c r="F814" s="28" t="s">
        <v>961</v>
      </c>
      <c r="G814" s="26">
        <v>168979.3</v>
      </c>
      <c r="H814" s="26">
        <v>70381.4</v>
      </c>
      <c r="I814" s="26">
        <f t="shared" si="26"/>
        <v>41.650900435733845</v>
      </c>
    </row>
    <row r="815" spans="1:9" ht="79.5" customHeight="1">
      <c r="A815" s="287" t="s">
        <v>931</v>
      </c>
      <c r="B815" s="23"/>
      <c r="C815" s="37" t="s">
        <v>998</v>
      </c>
      <c r="D815" s="37" t="s">
        <v>1150</v>
      </c>
      <c r="E815" s="37" t="s">
        <v>1057</v>
      </c>
      <c r="F815" s="28"/>
      <c r="G815" s="26">
        <f>SUM(G816)</f>
        <v>1756.1</v>
      </c>
      <c r="H815" s="26">
        <f>SUM(H816)</f>
        <v>1365.8</v>
      </c>
      <c r="I815" s="26">
        <f t="shared" si="26"/>
        <v>77.77461420192472</v>
      </c>
    </row>
    <row r="816" spans="1:9" ht="15">
      <c r="A816" s="285" t="s">
        <v>960</v>
      </c>
      <c r="B816" s="23"/>
      <c r="C816" s="37" t="s">
        <v>998</v>
      </c>
      <c r="D816" s="37" t="s">
        <v>1150</v>
      </c>
      <c r="E816" s="37" t="s">
        <v>1057</v>
      </c>
      <c r="F816" s="28" t="s">
        <v>961</v>
      </c>
      <c r="G816" s="26">
        <v>1756.1</v>
      </c>
      <c r="H816" s="26">
        <v>1365.8</v>
      </c>
      <c r="I816" s="26">
        <f t="shared" si="26"/>
        <v>77.77461420192472</v>
      </c>
    </row>
    <row r="817" spans="1:9" ht="85.5">
      <c r="A817" s="287" t="s">
        <v>740</v>
      </c>
      <c r="B817" s="23"/>
      <c r="C817" s="37" t="s">
        <v>998</v>
      </c>
      <c r="D817" s="37" t="s">
        <v>1150</v>
      </c>
      <c r="E817" s="37" t="s">
        <v>1058</v>
      </c>
      <c r="F817" s="28"/>
      <c r="G817" s="26">
        <f>SUM(G818)</f>
        <v>388.7</v>
      </c>
      <c r="H817" s="26">
        <f>SUM(H818)</f>
        <v>1324.9</v>
      </c>
      <c r="I817" s="26">
        <f t="shared" si="26"/>
        <v>340.8541291484436</v>
      </c>
    </row>
    <row r="818" spans="1:9" ht="15">
      <c r="A818" s="285" t="s">
        <v>960</v>
      </c>
      <c r="B818" s="23"/>
      <c r="C818" s="37" t="s">
        <v>998</v>
      </c>
      <c r="D818" s="37" t="s">
        <v>1150</v>
      </c>
      <c r="E818" s="37" t="s">
        <v>1058</v>
      </c>
      <c r="F818" s="28" t="s">
        <v>961</v>
      </c>
      <c r="G818" s="26">
        <v>388.7</v>
      </c>
      <c r="H818" s="26">
        <v>1324.9</v>
      </c>
      <c r="I818" s="26">
        <f t="shared" si="26"/>
        <v>340.8541291484436</v>
      </c>
    </row>
    <row r="819" spans="1:9" ht="45.75" customHeight="1" hidden="1">
      <c r="A819" s="291" t="s">
        <v>58</v>
      </c>
      <c r="B819" s="36"/>
      <c r="C819" s="37" t="s">
        <v>998</v>
      </c>
      <c r="D819" s="37" t="s">
        <v>1150</v>
      </c>
      <c r="E819" s="37" t="s">
        <v>1059</v>
      </c>
      <c r="F819" s="28"/>
      <c r="G819" s="26">
        <f>SUM(G820)</f>
        <v>0</v>
      </c>
      <c r="H819" s="26">
        <f>SUM(H820)</f>
        <v>0</v>
      </c>
      <c r="I819" s="26" t="e">
        <f t="shared" si="26"/>
        <v>#DIV/0!</v>
      </c>
    </row>
    <row r="820" spans="1:9" ht="18" customHeight="1" hidden="1">
      <c r="A820" s="291" t="s">
        <v>960</v>
      </c>
      <c r="B820" s="36"/>
      <c r="C820" s="37" t="s">
        <v>998</v>
      </c>
      <c r="D820" s="37" t="s">
        <v>1150</v>
      </c>
      <c r="E820" s="37" t="s">
        <v>1059</v>
      </c>
      <c r="F820" s="28" t="s">
        <v>961</v>
      </c>
      <c r="G820" s="26"/>
      <c r="H820" s="26"/>
      <c r="I820" s="26" t="e">
        <f t="shared" si="26"/>
        <v>#DIV/0!</v>
      </c>
    </row>
    <row r="821" spans="1:9" ht="99" customHeight="1">
      <c r="A821" s="291" t="s">
        <v>689</v>
      </c>
      <c r="B821" s="36"/>
      <c r="C821" s="37" t="s">
        <v>998</v>
      </c>
      <c r="D821" s="37" t="s">
        <v>1150</v>
      </c>
      <c r="E821" s="37" t="s">
        <v>690</v>
      </c>
      <c r="F821" s="28"/>
      <c r="G821" s="26">
        <f>SUM(G822)</f>
        <v>10290</v>
      </c>
      <c r="H821" s="26">
        <f>SUM(H822)</f>
        <v>5141.4</v>
      </c>
      <c r="I821" s="26">
        <f t="shared" si="26"/>
        <v>49.96501457725947</v>
      </c>
    </row>
    <row r="822" spans="1:9" ht="18" customHeight="1">
      <c r="A822" s="285" t="s">
        <v>960</v>
      </c>
      <c r="B822" s="36"/>
      <c r="C822" s="37" t="s">
        <v>998</v>
      </c>
      <c r="D822" s="37" t="s">
        <v>1150</v>
      </c>
      <c r="E822" s="37" t="s">
        <v>690</v>
      </c>
      <c r="F822" s="28" t="s">
        <v>961</v>
      </c>
      <c r="G822" s="26">
        <v>10290</v>
      </c>
      <c r="H822" s="26">
        <v>5141.4</v>
      </c>
      <c r="I822" s="26">
        <f t="shared" si="26"/>
        <v>49.96501457725947</v>
      </c>
    </row>
    <row r="823" spans="1:9" ht="32.25" customHeight="1">
      <c r="A823" s="285" t="s">
        <v>693</v>
      </c>
      <c r="B823" s="23"/>
      <c r="C823" s="37" t="s">
        <v>998</v>
      </c>
      <c r="D823" s="24" t="s">
        <v>1150</v>
      </c>
      <c r="E823" s="24" t="s">
        <v>694</v>
      </c>
      <c r="F823" s="28"/>
      <c r="G823" s="26">
        <f>SUM(G824)</f>
        <v>1640.6</v>
      </c>
      <c r="H823" s="26">
        <f>SUM(H824)</f>
        <v>927.6</v>
      </c>
      <c r="I823" s="26">
        <f t="shared" si="26"/>
        <v>56.54029013775449</v>
      </c>
    </row>
    <row r="824" spans="1:9" ht="15" customHeight="1">
      <c r="A824" s="291" t="s">
        <v>695</v>
      </c>
      <c r="B824" s="23"/>
      <c r="C824" s="37" t="s">
        <v>998</v>
      </c>
      <c r="D824" s="24" t="s">
        <v>1150</v>
      </c>
      <c r="E824" s="24" t="s">
        <v>696</v>
      </c>
      <c r="F824" s="28"/>
      <c r="G824" s="26">
        <f>SUM(G825:G825)</f>
        <v>1640.6</v>
      </c>
      <c r="H824" s="26">
        <f>SUM(H825:H825)</f>
        <v>927.6</v>
      </c>
      <c r="I824" s="26">
        <f t="shared" si="26"/>
        <v>56.54029013775449</v>
      </c>
    </row>
    <row r="825" spans="1:9" ht="15" customHeight="1">
      <c r="A825" s="285" t="s">
        <v>960</v>
      </c>
      <c r="B825" s="23"/>
      <c r="C825" s="37" t="s">
        <v>998</v>
      </c>
      <c r="D825" s="24" t="s">
        <v>1150</v>
      </c>
      <c r="E825" s="24" t="s">
        <v>696</v>
      </c>
      <c r="F825" s="28" t="s">
        <v>961</v>
      </c>
      <c r="G825" s="26">
        <f>1544.6+96</f>
        <v>1640.6</v>
      </c>
      <c r="H825" s="26">
        <v>927.6</v>
      </c>
      <c r="I825" s="26">
        <f t="shared" si="26"/>
        <v>56.54029013775449</v>
      </c>
    </row>
    <row r="826" spans="1:9" ht="15">
      <c r="A826" s="297" t="s">
        <v>1186</v>
      </c>
      <c r="B826" s="23"/>
      <c r="C826" s="37" t="s">
        <v>998</v>
      </c>
      <c r="D826" s="37" t="s">
        <v>1150</v>
      </c>
      <c r="E826" s="37" t="s">
        <v>1187</v>
      </c>
      <c r="F826" s="28"/>
      <c r="G826" s="26">
        <f>SUM(G827)</f>
        <v>4460</v>
      </c>
      <c r="H826" s="26">
        <f>SUM(H827)</f>
        <v>3319.1</v>
      </c>
      <c r="I826" s="26">
        <f t="shared" si="26"/>
        <v>74.41928251121077</v>
      </c>
    </row>
    <row r="827" spans="1:9" ht="42.75">
      <c r="A827" s="297" t="s">
        <v>375</v>
      </c>
      <c r="B827" s="23"/>
      <c r="C827" s="37" t="s">
        <v>998</v>
      </c>
      <c r="D827" s="37" t="s">
        <v>1150</v>
      </c>
      <c r="E827" s="37" t="s">
        <v>151</v>
      </c>
      <c r="F827" s="28"/>
      <c r="G827" s="26">
        <f>SUM(G828)</f>
        <v>4460</v>
      </c>
      <c r="H827" s="26">
        <f>SUM(H828)</f>
        <v>3319.1</v>
      </c>
      <c r="I827" s="26">
        <f t="shared" si="26"/>
        <v>74.41928251121077</v>
      </c>
    </row>
    <row r="828" spans="1:9" ht="18" customHeight="1">
      <c r="A828" s="285" t="s">
        <v>695</v>
      </c>
      <c r="B828" s="56"/>
      <c r="C828" s="37" t="s">
        <v>998</v>
      </c>
      <c r="D828" s="37" t="s">
        <v>1150</v>
      </c>
      <c r="E828" s="37" t="s">
        <v>151</v>
      </c>
      <c r="F828" s="29" t="s">
        <v>152</v>
      </c>
      <c r="G828" s="26">
        <v>4460</v>
      </c>
      <c r="H828" s="26">
        <v>3319.1</v>
      </c>
      <c r="I828" s="26">
        <f t="shared" si="26"/>
        <v>74.41928251121077</v>
      </c>
    </row>
    <row r="829" spans="1:9" ht="15">
      <c r="A829" s="287" t="s">
        <v>319</v>
      </c>
      <c r="B829" s="23"/>
      <c r="C829" s="33" t="s">
        <v>998</v>
      </c>
      <c r="D829" s="84" t="s">
        <v>1174</v>
      </c>
      <c r="E829" s="84"/>
      <c r="F829" s="49"/>
      <c r="G829" s="54">
        <f>SUM(G830+G833)</f>
        <v>30511.5</v>
      </c>
      <c r="H829" s="54">
        <f>SUM(H830+H833)</f>
        <v>17205.399999999998</v>
      </c>
      <c r="I829" s="26">
        <f t="shared" si="26"/>
        <v>56.38988578077117</v>
      </c>
    </row>
    <row r="830" spans="1:9" ht="15" hidden="1">
      <c r="A830" s="287" t="s">
        <v>1028</v>
      </c>
      <c r="B830" s="23"/>
      <c r="C830" s="33" t="s">
        <v>998</v>
      </c>
      <c r="D830" s="84" t="s">
        <v>1174</v>
      </c>
      <c r="E830" s="84" t="s">
        <v>1029</v>
      </c>
      <c r="F830" s="49"/>
      <c r="G830" s="26">
        <f>SUM(G831)</f>
        <v>0</v>
      </c>
      <c r="H830" s="26">
        <f>SUM(H831)</f>
        <v>0</v>
      </c>
      <c r="I830" s="26" t="e">
        <f t="shared" si="26"/>
        <v>#DIV/0!</v>
      </c>
    </row>
    <row r="831" spans="1:9" ht="18" customHeight="1" hidden="1">
      <c r="A831" s="297" t="s">
        <v>320</v>
      </c>
      <c r="B831" s="23"/>
      <c r="C831" s="33" t="s">
        <v>998</v>
      </c>
      <c r="D831" s="84" t="s">
        <v>1174</v>
      </c>
      <c r="E831" s="84" t="s">
        <v>321</v>
      </c>
      <c r="F831" s="49"/>
      <c r="G831" s="26">
        <f>SUM(G832)</f>
        <v>0</v>
      </c>
      <c r="H831" s="26">
        <f>SUM(H832)</f>
        <v>0</v>
      </c>
      <c r="I831" s="26" t="e">
        <f t="shared" si="26"/>
        <v>#DIV/0!</v>
      </c>
    </row>
    <row r="832" spans="1:9" ht="18" customHeight="1" hidden="1">
      <c r="A832" s="297" t="s">
        <v>960</v>
      </c>
      <c r="B832" s="23"/>
      <c r="C832" s="33" t="s">
        <v>998</v>
      </c>
      <c r="D832" s="84" t="s">
        <v>1174</v>
      </c>
      <c r="E832" s="84" t="s">
        <v>321</v>
      </c>
      <c r="F832" s="28" t="s">
        <v>961</v>
      </c>
      <c r="G832" s="26"/>
      <c r="H832" s="26"/>
      <c r="I832" s="26" t="e">
        <f t="shared" si="26"/>
        <v>#DIV/0!</v>
      </c>
    </row>
    <row r="833" spans="1:9" ht="15">
      <c r="A833" s="297" t="s">
        <v>322</v>
      </c>
      <c r="B833" s="23"/>
      <c r="C833" s="33" t="s">
        <v>998</v>
      </c>
      <c r="D833" s="84" t="s">
        <v>1174</v>
      </c>
      <c r="E833" s="84" t="s">
        <v>67</v>
      </c>
      <c r="F833" s="28"/>
      <c r="G833" s="26">
        <f>SUM(G834)</f>
        <v>30511.5</v>
      </c>
      <c r="H833" s="26">
        <f>SUM(H834)</f>
        <v>17205.399999999998</v>
      </c>
      <c r="I833" s="26">
        <f t="shared" si="26"/>
        <v>56.38988578077117</v>
      </c>
    </row>
    <row r="834" spans="1:9" ht="57">
      <c r="A834" s="291" t="s">
        <v>329</v>
      </c>
      <c r="B834" s="23"/>
      <c r="C834" s="33" t="s">
        <v>998</v>
      </c>
      <c r="D834" s="84" t="s">
        <v>1174</v>
      </c>
      <c r="E834" s="84" t="s">
        <v>328</v>
      </c>
      <c r="F834" s="49"/>
      <c r="G834" s="26">
        <f>SUM(G839)+G840+G843+G835+G837</f>
        <v>30511.5</v>
      </c>
      <c r="H834" s="26">
        <f>SUM(H839)+H840+H843+H835+H837</f>
        <v>17205.399999999998</v>
      </c>
      <c r="I834" s="26">
        <f t="shared" si="26"/>
        <v>56.38988578077117</v>
      </c>
    </row>
    <row r="835" spans="1:9" ht="15">
      <c r="A835" s="291" t="s">
        <v>330</v>
      </c>
      <c r="B835" s="23"/>
      <c r="C835" s="33" t="s">
        <v>998</v>
      </c>
      <c r="D835" s="33" t="s">
        <v>1174</v>
      </c>
      <c r="E835" s="84" t="s">
        <v>331</v>
      </c>
      <c r="F835" s="103"/>
      <c r="G835" s="26">
        <f>SUM(G836)</f>
        <v>5347.8</v>
      </c>
      <c r="H835" s="26">
        <f>SUM(H836)</f>
        <v>241.8</v>
      </c>
      <c r="I835" s="26">
        <f t="shared" si="26"/>
        <v>4.521485470660832</v>
      </c>
    </row>
    <row r="836" spans="1:9" ht="28.5">
      <c r="A836" s="291" t="s">
        <v>332</v>
      </c>
      <c r="B836" s="23"/>
      <c r="C836" s="33" t="s">
        <v>998</v>
      </c>
      <c r="D836" s="33" t="s">
        <v>1174</v>
      </c>
      <c r="E836" s="84" t="s">
        <v>331</v>
      </c>
      <c r="F836" s="103" t="s">
        <v>333</v>
      </c>
      <c r="G836" s="26">
        <v>5347.8</v>
      </c>
      <c r="H836" s="26">
        <v>241.8</v>
      </c>
      <c r="I836" s="26">
        <f t="shared" si="26"/>
        <v>4.521485470660832</v>
      </c>
    </row>
    <row r="837" spans="1:9" ht="15">
      <c r="A837" s="291" t="s">
        <v>334</v>
      </c>
      <c r="B837" s="23"/>
      <c r="C837" s="33" t="s">
        <v>998</v>
      </c>
      <c r="D837" s="33" t="s">
        <v>1174</v>
      </c>
      <c r="E837" s="84" t="s">
        <v>335</v>
      </c>
      <c r="F837" s="103"/>
      <c r="G837" s="26">
        <f>SUM(G838)</f>
        <v>663.7</v>
      </c>
      <c r="H837" s="26">
        <f>SUM(H838)</f>
        <v>252</v>
      </c>
      <c r="I837" s="26">
        <f t="shared" si="26"/>
        <v>37.96896188036764</v>
      </c>
    </row>
    <row r="838" spans="1:9" ht="27.75" customHeight="1">
      <c r="A838" s="291" t="s">
        <v>332</v>
      </c>
      <c r="B838" s="23"/>
      <c r="C838" s="33" t="s">
        <v>998</v>
      </c>
      <c r="D838" s="33" t="s">
        <v>1174</v>
      </c>
      <c r="E838" s="84" t="s">
        <v>335</v>
      </c>
      <c r="F838" s="103" t="s">
        <v>333</v>
      </c>
      <c r="G838" s="26">
        <v>663.7</v>
      </c>
      <c r="H838" s="26">
        <v>252</v>
      </c>
      <c r="I838" s="26">
        <f t="shared" si="26"/>
        <v>37.96896188036764</v>
      </c>
    </row>
    <row r="839" spans="1:9" ht="15" hidden="1">
      <c r="A839" s="291" t="s">
        <v>336</v>
      </c>
      <c r="B839" s="23"/>
      <c r="C839" s="33" t="s">
        <v>998</v>
      </c>
      <c r="D839" s="33" t="s">
        <v>1174</v>
      </c>
      <c r="E839" s="84" t="s">
        <v>337</v>
      </c>
      <c r="F839" s="103"/>
      <c r="G839" s="26">
        <f>SUM(G842)</f>
        <v>0</v>
      </c>
      <c r="H839" s="26">
        <f>SUM(H842)</f>
        <v>0</v>
      </c>
      <c r="I839" s="26" t="e">
        <f t="shared" si="26"/>
        <v>#DIV/0!</v>
      </c>
    </row>
    <row r="840" spans="1:9" ht="0.75" customHeight="1" hidden="1">
      <c r="A840" s="291" t="s">
        <v>336</v>
      </c>
      <c r="B840" s="23"/>
      <c r="C840" s="33" t="s">
        <v>998</v>
      </c>
      <c r="D840" s="33" t="s">
        <v>1174</v>
      </c>
      <c r="E840" s="84" t="s">
        <v>337</v>
      </c>
      <c r="F840" s="103"/>
      <c r="G840" s="26">
        <f>SUM(G841)</f>
        <v>0</v>
      </c>
      <c r="H840" s="26">
        <f>SUM(H841)</f>
        <v>0</v>
      </c>
      <c r="I840" s="26" t="e">
        <f t="shared" si="26"/>
        <v>#DIV/0!</v>
      </c>
    </row>
    <row r="841" spans="1:9" ht="15" hidden="1">
      <c r="A841" s="291" t="s">
        <v>960</v>
      </c>
      <c r="B841" s="23"/>
      <c r="C841" s="33" t="s">
        <v>998</v>
      </c>
      <c r="D841" s="33" t="s">
        <v>1174</v>
      </c>
      <c r="E841" s="84" t="s">
        <v>337</v>
      </c>
      <c r="F841" s="103" t="s">
        <v>961</v>
      </c>
      <c r="G841" s="26"/>
      <c r="H841" s="26"/>
      <c r="I841" s="26" t="e">
        <f t="shared" si="26"/>
        <v>#DIV/0!</v>
      </c>
    </row>
    <row r="842" spans="1:9" ht="28.5" hidden="1">
      <c r="A842" s="291" t="s">
        <v>332</v>
      </c>
      <c r="B842" s="23"/>
      <c r="C842" s="33" t="s">
        <v>998</v>
      </c>
      <c r="D842" s="33" t="s">
        <v>1174</v>
      </c>
      <c r="E842" s="84" t="s">
        <v>337</v>
      </c>
      <c r="F842" s="103" t="s">
        <v>333</v>
      </c>
      <c r="G842" s="26"/>
      <c r="H842" s="26"/>
      <c r="I842" s="26" t="e">
        <f t="shared" si="26"/>
        <v>#DIV/0!</v>
      </c>
    </row>
    <row r="843" spans="1:9" ht="28.5">
      <c r="A843" s="291" t="s">
        <v>332</v>
      </c>
      <c r="B843" s="23"/>
      <c r="C843" s="33" t="s">
        <v>998</v>
      </c>
      <c r="D843" s="33" t="s">
        <v>1174</v>
      </c>
      <c r="E843" s="84" t="s">
        <v>338</v>
      </c>
      <c r="F843" s="103"/>
      <c r="G843" s="26">
        <f>SUM(G844)</f>
        <v>24500</v>
      </c>
      <c r="H843" s="26">
        <f>SUM(H844)</f>
        <v>16711.6</v>
      </c>
      <c r="I843" s="26">
        <f t="shared" si="26"/>
        <v>68.21061224489794</v>
      </c>
    </row>
    <row r="844" spans="1:9" ht="42.75">
      <c r="A844" s="291" t="s">
        <v>339</v>
      </c>
      <c r="B844" s="23"/>
      <c r="C844" s="33" t="s">
        <v>998</v>
      </c>
      <c r="D844" s="33" t="s">
        <v>1174</v>
      </c>
      <c r="E844" s="84" t="s">
        <v>338</v>
      </c>
      <c r="F844" s="103" t="s">
        <v>333</v>
      </c>
      <c r="G844" s="26">
        <v>24500</v>
      </c>
      <c r="H844" s="26">
        <v>16711.6</v>
      </c>
      <c r="I844" s="26">
        <f t="shared" si="26"/>
        <v>68.21061224489794</v>
      </c>
    </row>
    <row r="845" spans="1:9" ht="20.25" customHeight="1">
      <c r="A845" s="299" t="s">
        <v>340</v>
      </c>
      <c r="B845" s="23"/>
      <c r="C845" s="84" t="s">
        <v>998</v>
      </c>
      <c r="D845" s="84" t="s">
        <v>642</v>
      </c>
      <c r="E845" s="84"/>
      <c r="F845" s="49"/>
      <c r="G845" s="54">
        <f>SUM(G846)+G859</f>
        <v>27547.199999999997</v>
      </c>
      <c r="H845" s="54">
        <f>SUM(H846)</f>
        <v>15109.199999999999</v>
      </c>
      <c r="I845" s="26">
        <f t="shared" si="26"/>
        <v>54.84840564558285</v>
      </c>
    </row>
    <row r="846" spans="1:9" ht="42.75" customHeight="1">
      <c r="A846" s="285" t="s">
        <v>1143</v>
      </c>
      <c r="B846" s="23"/>
      <c r="C846" s="24" t="s">
        <v>998</v>
      </c>
      <c r="D846" s="24" t="s">
        <v>642</v>
      </c>
      <c r="E846" s="24" t="s">
        <v>1144</v>
      </c>
      <c r="F846" s="28"/>
      <c r="G846" s="26">
        <f>SUM(G847)</f>
        <v>26544.899999999998</v>
      </c>
      <c r="H846" s="26">
        <f>SUM(H847)</f>
        <v>15109.199999999999</v>
      </c>
      <c r="I846" s="26">
        <f t="shared" si="26"/>
        <v>56.91940824791203</v>
      </c>
    </row>
    <row r="847" spans="1:9" ht="15">
      <c r="A847" s="285" t="s">
        <v>1151</v>
      </c>
      <c r="B847" s="23"/>
      <c r="C847" s="24" t="s">
        <v>998</v>
      </c>
      <c r="D847" s="24" t="s">
        <v>642</v>
      </c>
      <c r="E847" s="24" t="s">
        <v>1153</v>
      </c>
      <c r="F847" s="28"/>
      <c r="G847" s="26">
        <f>SUM(G855+G849+G851+G857+G848)</f>
        <v>26544.899999999998</v>
      </c>
      <c r="H847" s="26">
        <f>SUM(H855+H849+H851+H857+H848)</f>
        <v>15109.199999999999</v>
      </c>
      <c r="I847" s="26">
        <f t="shared" si="26"/>
        <v>56.91940824791203</v>
      </c>
    </row>
    <row r="848" spans="1:9" ht="27.75" customHeight="1">
      <c r="A848" s="299" t="s">
        <v>1147</v>
      </c>
      <c r="B848" s="112"/>
      <c r="C848" s="24" t="s">
        <v>998</v>
      </c>
      <c r="D848" s="24" t="s">
        <v>642</v>
      </c>
      <c r="E848" s="24" t="s">
        <v>1153</v>
      </c>
      <c r="F848" s="169" t="s">
        <v>1148</v>
      </c>
      <c r="G848" s="26">
        <f>1871.2+692.9</f>
        <v>2564.1</v>
      </c>
      <c r="H848" s="26">
        <v>227.6</v>
      </c>
      <c r="I848" s="26">
        <f t="shared" si="26"/>
        <v>8.876408876408878</v>
      </c>
    </row>
    <row r="849" spans="1:9" ht="49.5" customHeight="1" hidden="1">
      <c r="A849" s="299" t="s">
        <v>341</v>
      </c>
      <c r="B849" s="112"/>
      <c r="C849" s="24" t="s">
        <v>998</v>
      </c>
      <c r="D849" s="24" t="s">
        <v>642</v>
      </c>
      <c r="E849" s="24" t="s">
        <v>342</v>
      </c>
      <c r="F849" s="169"/>
      <c r="G849" s="26">
        <f>SUM(G850)</f>
        <v>0</v>
      </c>
      <c r="H849" s="26">
        <f>SUM(H850)</f>
        <v>0</v>
      </c>
      <c r="I849" s="26" t="e">
        <f t="shared" si="26"/>
        <v>#DIV/0!</v>
      </c>
    </row>
    <row r="850" spans="1:9" ht="31.5" customHeight="1" hidden="1">
      <c r="A850" s="299" t="s">
        <v>1147</v>
      </c>
      <c r="B850" s="112"/>
      <c r="C850" s="24" t="s">
        <v>998</v>
      </c>
      <c r="D850" s="24" t="s">
        <v>642</v>
      </c>
      <c r="E850" s="24" t="s">
        <v>342</v>
      </c>
      <c r="F850" s="169" t="s">
        <v>1148</v>
      </c>
      <c r="G850" s="26"/>
      <c r="H850" s="26"/>
      <c r="I850" s="26" t="e">
        <f t="shared" si="26"/>
        <v>#DIV/0!</v>
      </c>
    </row>
    <row r="851" spans="1:9" s="102" customFormat="1" ht="32.25" customHeight="1">
      <c r="A851" s="299" t="s">
        <v>343</v>
      </c>
      <c r="B851" s="112"/>
      <c r="C851" s="24" t="s">
        <v>998</v>
      </c>
      <c r="D851" s="24" t="s">
        <v>642</v>
      </c>
      <c r="E851" s="24" t="s">
        <v>344</v>
      </c>
      <c r="F851" s="169"/>
      <c r="G851" s="26">
        <f>SUM(G852)</f>
        <v>4023.2</v>
      </c>
      <c r="H851" s="26">
        <f>SUM(H852)</f>
        <v>2507.7</v>
      </c>
      <c r="I851" s="26">
        <f t="shared" si="26"/>
        <v>62.330980314177765</v>
      </c>
    </row>
    <row r="852" spans="1:9" s="102" customFormat="1" ht="29.25" customHeight="1">
      <c r="A852" s="299" t="s">
        <v>1147</v>
      </c>
      <c r="B852" s="53"/>
      <c r="C852" s="24" t="s">
        <v>998</v>
      </c>
      <c r="D852" s="24" t="s">
        <v>642</v>
      </c>
      <c r="E852" s="24" t="s">
        <v>344</v>
      </c>
      <c r="F852" s="169" t="s">
        <v>1148</v>
      </c>
      <c r="G852" s="26">
        <v>4023.2</v>
      </c>
      <c r="H852" s="26">
        <v>2507.7</v>
      </c>
      <c r="I852" s="26">
        <f t="shared" si="26"/>
        <v>62.330980314177765</v>
      </c>
    </row>
    <row r="853" spans="1:9" s="102" customFormat="1" ht="45.75" customHeight="1" hidden="1">
      <c r="A853" s="299" t="s">
        <v>345</v>
      </c>
      <c r="B853" s="53"/>
      <c r="C853" s="24" t="s">
        <v>998</v>
      </c>
      <c r="D853" s="24" t="s">
        <v>642</v>
      </c>
      <c r="E853" s="24" t="s">
        <v>346</v>
      </c>
      <c r="F853" s="169"/>
      <c r="G853" s="26"/>
      <c r="H853" s="26"/>
      <c r="I853" s="26" t="e">
        <f t="shared" si="26"/>
        <v>#DIV/0!</v>
      </c>
    </row>
    <row r="854" spans="1:9" ht="15.75" customHeight="1" hidden="1">
      <c r="A854" s="299" t="s">
        <v>1147</v>
      </c>
      <c r="B854" s="112"/>
      <c r="C854" s="24" t="s">
        <v>998</v>
      </c>
      <c r="D854" s="24" t="s">
        <v>642</v>
      </c>
      <c r="E854" s="24" t="s">
        <v>346</v>
      </c>
      <c r="F854" s="169" t="s">
        <v>1148</v>
      </c>
      <c r="G854" s="26">
        <f>2956.3+101.6</f>
        <v>3057.9</v>
      </c>
      <c r="H854" s="26">
        <f>2956.3+101.6</f>
        <v>3057.9</v>
      </c>
      <c r="I854" s="26">
        <f t="shared" si="26"/>
        <v>100</v>
      </c>
    </row>
    <row r="855" spans="1:9" ht="49.5" customHeight="1">
      <c r="A855" s="299" t="s">
        <v>341</v>
      </c>
      <c r="B855" s="112"/>
      <c r="C855" s="24" t="s">
        <v>998</v>
      </c>
      <c r="D855" s="24" t="s">
        <v>642</v>
      </c>
      <c r="E855" s="24" t="s">
        <v>342</v>
      </c>
      <c r="F855" s="169"/>
      <c r="G855" s="26">
        <f>SUM(G856)</f>
        <v>16483.8</v>
      </c>
      <c r="H855" s="26">
        <f>SUM(H856)</f>
        <v>10267.1</v>
      </c>
      <c r="I855" s="26">
        <f t="shared" si="26"/>
        <v>62.2860020140987</v>
      </c>
    </row>
    <row r="856" spans="1:9" ht="31.5" customHeight="1">
      <c r="A856" s="299" t="s">
        <v>1147</v>
      </c>
      <c r="B856" s="112"/>
      <c r="C856" s="24" t="s">
        <v>998</v>
      </c>
      <c r="D856" s="24" t="s">
        <v>642</v>
      </c>
      <c r="E856" s="24" t="s">
        <v>342</v>
      </c>
      <c r="F856" s="169" t="s">
        <v>1148</v>
      </c>
      <c r="G856" s="26">
        <v>16483.8</v>
      </c>
      <c r="H856" s="26">
        <v>10267.1</v>
      </c>
      <c r="I856" s="26">
        <f t="shared" si="26"/>
        <v>62.2860020140987</v>
      </c>
    </row>
    <row r="857" spans="1:9" s="102" customFormat="1" ht="45.75" customHeight="1">
      <c r="A857" s="299" t="s">
        <v>345</v>
      </c>
      <c r="B857" s="53"/>
      <c r="C857" s="24" t="s">
        <v>998</v>
      </c>
      <c r="D857" s="24" t="s">
        <v>642</v>
      </c>
      <c r="E857" s="24" t="s">
        <v>347</v>
      </c>
      <c r="F857" s="169"/>
      <c r="G857" s="26">
        <f>SUM(G858)</f>
        <v>3473.8</v>
      </c>
      <c r="H857" s="26">
        <f>SUM(H858)</f>
        <v>2106.8</v>
      </c>
      <c r="I857" s="26">
        <f t="shared" si="26"/>
        <v>60.64828142092233</v>
      </c>
    </row>
    <row r="858" spans="1:9" ht="32.25" customHeight="1">
      <c r="A858" s="299" t="s">
        <v>1147</v>
      </c>
      <c r="B858" s="112"/>
      <c r="C858" s="24" t="s">
        <v>998</v>
      </c>
      <c r="D858" s="24" t="s">
        <v>642</v>
      </c>
      <c r="E858" s="24" t="s">
        <v>347</v>
      </c>
      <c r="F858" s="169" t="s">
        <v>1148</v>
      </c>
      <c r="G858" s="26">
        <v>3473.8</v>
      </c>
      <c r="H858" s="26">
        <v>2106.8</v>
      </c>
      <c r="I858" s="26">
        <f t="shared" si="26"/>
        <v>60.64828142092233</v>
      </c>
    </row>
    <row r="859" spans="1:9" ht="18.75" customHeight="1">
      <c r="A859" s="297" t="s">
        <v>1186</v>
      </c>
      <c r="B859" s="23"/>
      <c r="C859" s="24" t="s">
        <v>998</v>
      </c>
      <c r="D859" s="24" t="s">
        <v>642</v>
      </c>
      <c r="E859" s="37" t="s">
        <v>1187</v>
      </c>
      <c r="F859" s="28"/>
      <c r="G859" s="26">
        <f>SUM(G860)</f>
        <v>1002.3</v>
      </c>
      <c r="H859" s="26"/>
      <c r="I859" s="26"/>
    </row>
    <row r="860" spans="1:9" ht="99.75" customHeight="1">
      <c r="A860" s="299" t="s">
        <v>219</v>
      </c>
      <c r="B860" s="112"/>
      <c r="C860" s="24" t="s">
        <v>998</v>
      </c>
      <c r="D860" s="24" t="s">
        <v>642</v>
      </c>
      <c r="E860" s="37" t="s">
        <v>600</v>
      </c>
      <c r="F860" s="169"/>
      <c r="G860" s="26">
        <f>SUM(G862+G863)+G861</f>
        <v>1002.3</v>
      </c>
      <c r="H860" s="26"/>
      <c r="I860" s="26"/>
    </row>
    <row r="861" spans="1:9" ht="29.25" customHeight="1">
      <c r="A861" s="299" t="s">
        <v>1147</v>
      </c>
      <c r="B861" s="36"/>
      <c r="C861" s="24" t="s">
        <v>998</v>
      </c>
      <c r="D861" s="24" t="s">
        <v>642</v>
      </c>
      <c r="E861" s="37" t="s">
        <v>600</v>
      </c>
      <c r="F861" s="28" t="s">
        <v>1148</v>
      </c>
      <c r="G861" s="26">
        <v>2.3</v>
      </c>
      <c r="H861" s="26">
        <v>1026.3</v>
      </c>
      <c r="I861" s="26">
        <f>SUM(H861/G861*100)</f>
        <v>44621.739130434784</v>
      </c>
    </row>
    <row r="862" spans="1:9" ht="58.5" customHeight="1">
      <c r="A862" s="299" t="s">
        <v>315</v>
      </c>
      <c r="B862" s="112"/>
      <c r="C862" s="24" t="s">
        <v>998</v>
      </c>
      <c r="D862" s="24" t="s">
        <v>642</v>
      </c>
      <c r="E862" s="37" t="s">
        <v>600</v>
      </c>
      <c r="F862" s="169" t="s">
        <v>496</v>
      </c>
      <c r="G862" s="26">
        <v>345.8</v>
      </c>
      <c r="H862" s="26"/>
      <c r="I862" s="26"/>
    </row>
    <row r="863" spans="1:9" ht="32.25" customHeight="1">
      <c r="A863" s="299" t="s">
        <v>316</v>
      </c>
      <c r="B863" s="112"/>
      <c r="C863" s="24" t="s">
        <v>998</v>
      </c>
      <c r="D863" s="24" t="s">
        <v>642</v>
      </c>
      <c r="E863" s="37" t="s">
        <v>600</v>
      </c>
      <c r="F863" s="169" t="s">
        <v>772</v>
      </c>
      <c r="G863" s="26">
        <v>654.2</v>
      </c>
      <c r="H863" s="26"/>
      <c r="I863" s="26"/>
    </row>
    <row r="864" spans="1:9" ht="30.75" customHeight="1">
      <c r="A864" s="290" t="s">
        <v>736</v>
      </c>
      <c r="B864" s="96" t="s">
        <v>868</v>
      </c>
      <c r="C864" s="46"/>
      <c r="D864" s="94"/>
      <c r="E864" s="94"/>
      <c r="F864" s="95"/>
      <c r="G864" s="161">
        <f>SUM(G865+G877+G893+G915)+G940</f>
        <v>59813.600000000006</v>
      </c>
      <c r="H864" s="161" t="e">
        <f>SUM(H910+#REF!)</f>
        <v>#REF!</v>
      </c>
      <c r="I864" s="26" t="e">
        <f>SUM(H864/G864*100)</f>
        <v>#REF!</v>
      </c>
    </row>
    <row r="865" spans="1:9" ht="18.75" customHeight="1">
      <c r="A865" s="285" t="s">
        <v>1139</v>
      </c>
      <c r="B865" s="23"/>
      <c r="C865" s="24" t="s">
        <v>1140</v>
      </c>
      <c r="D865" s="24"/>
      <c r="E865" s="24"/>
      <c r="F865" s="25"/>
      <c r="G865" s="26">
        <f>SUM(G866+G870)</f>
        <v>30886.4</v>
      </c>
      <c r="H865" s="161"/>
      <c r="I865" s="26"/>
    </row>
    <row r="866" spans="1:9" ht="37.5" customHeight="1">
      <c r="A866" s="285" t="s">
        <v>1179</v>
      </c>
      <c r="B866" s="23"/>
      <c r="C866" s="24" t="s">
        <v>1140</v>
      </c>
      <c r="D866" s="24" t="s">
        <v>1174</v>
      </c>
      <c r="E866" s="24"/>
      <c r="F866" s="25"/>
      <c r="G866" s="26">
        <f>SUM(G867)</f>
        <v>26361.3</v>
      </c>
      <c r="H866" s="161"/>
      <c r="I866" s="26"/>
    </row>
    <row r="867" spans="1:9" ht="39" customHeight="1">
      <c r="A867" s="285" t="s">
        <v>1143</v>
      </c>
      <c r="B867" s="23"/>
      <c r="C867" s="24" t="s">
        <v>1140</v>
      </c>
      <c r="D867" s="24" t="s">
        <v>1174</v>
      </c>
      <c r="E867" s="24" t="s">
        <v>1144</v>
      </c>
      <c r="F867" s="28"/>
      <c r="G867" s="26">
        <f>SUM(G868)</f>
        <v>26361.3</v>
      </c>
      <c r="H867" s="161"/>
      <c r="I867" s="26"/>
    </row>
    <row r="868" spans="1:9" ht="20.25" customHeight="1">
      <c r="A868" s="285" t="s">
        <v>1151</v>
      </c>
      <c r="B868" s="23"/>
      <c r="C868" s="24" t="s">
        <v>1140</v>
      </c>
      <c r="D868" s="24" t="s">
        <v>1174</v>
      </c>
      <c r="E868" s="24" t="s">
        <v>1153</v>
      </c>
      <c r="F868" s="28"/>
      <c r="G868" s="26">
        <f>SUM(G869)</f>
        <v>26361.3</v>
      </c>
      <c r="H868" s="161"/>
      <c r="I868" s="26"/>
    </row>
    <row r="869" spans="1:9" ht="23.25" customHeight="1">
      <c r="A869" s="285" t="s">
        <v>1147</v>
      </c>
      <c r="B869" s="23"/>
      <c r="C869" s="24" t="s">
        <v>1140</v>
      </c>
      <c r="D869" s="24" t="s">
        <v>1174</v>
      </c>
      <c r="E869" s="24" t="s">
        <v>1153</v>
      </c>
      <c r="F869" s="25" t="s">
        <v>1148</v>
      </c>
      <c r="G869" s="26">
        <f>26081.6+279.7</f>
        <v>26361.3</v>
      </c>
      <c r="H869" s="161"/>
      <c r="I869" s="26"/>
    </row>
    <row r="870" spans="1:9" ht="18.75" customHeight="1">
      <c r="A870" s="285" t="s">
        <v>1156</v>
      </c>
      <c r="B870" s="23"/>
      <c r="C870" s="24" t="s">
        <v>1140</v>
      </c>
      <c r="D870" s="24" t="s">
        <v>111</v>
      </c>
      <c r="E870" s="24"/>
      <c r="F870" s="28"/>
      <c r="G870" s="26">
        <f>SUM(G871+G874)</f>
        <v>4525.1</v>
      </c>
      <c r="H870" s="26" t="e">
        <f>SUM(H871+H909+#REF!+#REF!+#REF!+#REF!+#REF!)+H876+H874</f>
        <v>#REF!</v>
      </c>
      <c r="I870" s="26" t="e">
        <f aca="true" t="shared" si="27" ref="I870:I877">SUM(H870/G870*100)</f>
        <v>#REF!</v>
      </c>
    </row>
    <row r="871" spans="1:9" ht="28.5">
      <c r="A871" s="287" t="s">
        <v>143</v>
      </c>
      <c r="B871" s="23"/>
      <c r="C871" s="24" t="s">
        <v>1140</v>
      </c>
      <c r="D871" s="24" t="s">
        <v>111</v>
      </c>
      <c r="E871" s="24" t="s">
        <v>1170</v>
      </c>
      <c r="F871" s="25"/>
      <c r="G871" s="26">
        <f>SUM(G872)</f>
        <v>3540</v>
      </c>
      <c r="H871" s="26">
        <f>SUM(H872)</f>
        <v>2749.5</v>
      </c>
      <c r="I871" s="26">
        <f t="shared" si="27"/>
        <v>77.66949152542372</v>
      </c>
    </row>
    <row r="872" spans="1:9" ht="28.5">
      <c r="A872" s="287" t="s">
        <v>1171</v>
      </c>
      <c r="B872" s="23"/>
      <c r="C872" s="24" t="s">
        <v>1140</v>
      </c>
      <c r="D872" s="24" t="s">
        <v>111</v>
      </c>
      <c r="E872" s="24" t="s">
        <v>144</v>
      </c>
      <c r="F872" s="25"/>
      <c r="G872" s="26">
        <f>SUM(G873)</f>
        <v>3540</v>
      </c>
      <c r="H872" s="26">
        <f>SUM(H873)</f>
        <v>2749.5</v>
      </c>
      <c r="I872" s="26">
        <f t="shared" si="27"/>
        <v>77.66949152542372</v>
      </c>
    </row>
    <row r="873" spans="1:9" ht="27" customHeight="1">
      <c r="A873" s="285" t="s">
        <v>1147</v>
      </c>
      <c r="B873" s="23"/>
      <c r="C873" s="24" t="s">
        <v>1140</v>
      </c>
      <c r="D873" s="24" t="s">
        <v>111</v>
      </c>
      <c r="E873" s="24" t="s">
        <v>144</v>
      </c>
      <c r="F873" s="25" t="s">
        <v>1148</v>
      </c>
      <c r="G873" s="26">
        <f>3819.7-279.7</f>
        <v>3540</v>
      </c>
      <c r="H873" s="26">
        <v>2749.5</v>
      </c>
      <c r="I873" s="26">
        <f t="shared" si="27"/>
        <v>77.66949152542372</v>
      </c>
    </row>
    <row r="874" spans="1:9" ht="27" customHeight="1">
      <c r="A874" s="285" t="s">
        <v>1158</v>
      </c>
      <c r="B874" s="23"/>
      <c r="C874" s="24" t="s">
        <v>1140</v>
      </c>
      <c r="D874" s="24" t="s">
        <v>111</v>
      </c>
      <c r="E874" s="24" t="s">
        <v>1159</v>
      </c>
      <c r="F874" s="29"/>
      <c r="G874" s="26">
        <f>SUM(G875)</f>
        <v>985.1</v>
      </c>
      <c r="H874" s="26">
        <f>SUM(H875)</f>
        <v>0</v>
      </c>
      <c r="I874" s="26">
        <f t="shared" si="27"/>
        <v>0</v>
      </c>
    </row>
    <row r="875" spans="1:9" ht="27" customHeight="1">
      <c r="A875" s="285" t="s">
        <v>1160</v>
      </c>
      <c r="B875" s="23"/>
      <c r="C875" s="24" t="s">
        <v>1140</v>
      </c>
      <c r="D875" s="24" t="s">
        <v>111</v>
      </c>
      <c r="E875" s="24" t="s">
        <v>145</v>
      </c>
      <c r="F875" s="29"/>
      <c r="G875" s="26">
        <f>SUM(G876)</f>
        <v>985.1</v>
      </c>
      <c r="H875" s="26"/>
      <c r="I875" s="26">
        <f t="shared" si="27"/>
        <v>0</v>
      </c>
    </row>
    <row r="876" spans="1:9" ht="27" customHeight="1">
      <c r="A876" s="285" t="s">
        <v>1147</v>
      </c>
      <c r="B876" s="23"/>
      <c r="C876" s="24" t="s">
        <v>1140</v>
      </c>
      <c r="D876" s="24" t="s">
        <v>111</v>
      </c>
      <c r="E876" s="24" t="s">
        <v>145</v>
      </c>
      <c r="F876" s="29" t="s">
        <v>1148</v>
      </c>
      <c r="G876" s="26">
        <v>985.1</v>
      </c>
      <c r="H876" s="26" t="e">
        <f>SUM(#REF!)</f>
        <v>#REF!</v>
      </c>
      <c r="I876" s="26" t="e">
        <f t="shared" si="27"/>
        <v>#REF!</v>
      </c>
    </row>
    <row r="877" spans="1:9" s="333" customFormat="1" ht="15">
      <c r="A877" s="299" t="s">
        <v>1173</v>
      </c>
      <c r="B877" s="32"/>
      <c r="C877" s="84" t="s">
        <v>1174</v>
      </c>
      <c r="D877" s="84"/>
      <c r="E877" s="84"/>
      <c r="F877" s="49"/>
      <c r="G877" s="54">
        <f>SUM(G884+G878)</f>
        <v>4900</v>
      </c>
      <c r="H877" s="54" t="e">
        <f>SUM(H884+#REF!)</f>
        <v>#REF!</v>
      </c>
      <c r="I877" s="54" t="e">
        <f t="shared" si="27"/>
        <v>#REF!</v>
      </c>
    </row>
    <row r="878" spans="1:9" s="333" customFormat="1" ht="15" hidden="1">
      <c r="A878" s="299" t="s">
        <v>1175</v>
      </c>
      <c r="B878" s="32"/>
      <c r="C878" s="84" t="s">
        <v>1174</v>
      </c>
      <c r="D878" s="84" t="s">
        <v>1176</v>
      </c>
      <c r="E878" s="84"/>
      <c r="F878" s="49"/>
      <c r="G878" s="54">
        <f>SUM(G879,G881)</f>
        <v>0</v>
      </c>
      <c r="H878" s="54"/>
      <c r="I878" s="54"/>
    </row>
    <row r="879" spans="1:9" s="333" customFormat="1" ht="31.5" customHeight="1" hidden="1">
      <c r="A879" s="299" t="s">
        <v>909</v>
      </c>
      <c r="B879" s="32"/>
      <c r="C879" s="84" t="s">
        <v>1174</v>
      </c>
      <c r="D879" s="84" t="s">
        <v>1176</v>
      </c>
      <c r="E879" s="84" t="s">
        <v>1076</v>
      </c>
      <c r="F879" s="49"/>
      <c r="G879" s="54">
        <f>SUM(G880)</f>
        <v>0</v>
      </c>
      <c r="H879" s="54"/>
      <c r="I879" s="54"/>
    </row>
    <row r="880" spans="1:9" s="333" customFormat="1" ht="30" customHeight="1" hidden="1">
      <c r="A880" s="285" t="s">
        <v>1147</v>
      </c>
      <c r="B880" s="32"/>
      <c r="C880" s="84" t="s">
        <v>1174</v>
      </c>
      <c r="D880" s="84" t="s">
        <v>1176</v>
      </c>
      <c r="E880" s="84" t="s">
        <v>1076</v>
      </c>
      <c r="F880" s="49" t="s">
        <v>1148</v>
      </c>
      <c r="G880" s="54"/>
      <c r="H880" s="54"/>
      <c r="I880" s="54"/>
    </row>
    <row r="881" spans="1:9" s="333" customFormat="1" ht="31.5" customHeight="1" hidden="1">
      <c r="A881" s="287" t="s">
        <v>980</v>
      </c>
      <c r="B881" s="32"/>
      <c r="C881" s="84" t="s">
        <v>1174</v>
      </c>
      <c r="D881" s="84" t="s">
        <v>1176</v>
      </c>
      <c r="E881" s="84" t="s">
        <v>933</v>
      </c>
      <c r="F881" s="49"/>
      <c r="G881" s="54">
        <f>SUM(G882)</f>
        <v>0</v>
      </c>
      <c r="H881" s="54"/>
      <c r="I881" s="54"/>
    </row>
    <row r="882" spans="1:9" s="333" customFormat="1" ht="31.5" customHeight="1" hidden="1">
      <c r="A882" s="287" t="s">
        <v>981</v>
      </c>
      <c r="B882" s="32"/>
      <c r="C882" s="84" t="s">
        <v>910</v>
      </c>
      <c r="D882" s="84" t="s">
        <v>1176</v>
      </c>
      <c r="E882" s="84" t="s">
        <v>935</v>
      </c>
      <c r="F882" s="49"/>
      <c r="G882" s="54">
        <f>SUM(G883)</f>
        <v>0</v>
      </c>
      <c r="H882" s="54"/>
      <c r="I882" s="54"/>
    </row>
    <row r="883" spans="1:9" s="333" customFormat="1" ht="27" customHeight="1" hidden="1">
      <c r="A883" s="285" t="s">
        <v>1001</v>
      </c>
      <c r="B883" s="32"/>
      <c r="C883" s="84" t="s">
        <v>1174</v>
      </c>
      <c r="D883" s="84" t="s">
        <v>1176</v>
      </c>
      <c r="E883" s="84" t="s">
        <v>935</v>
      </c>
      <c r="F883" s="49" t="s">
        <v>1002</v>
      </c>
      <c r="G883" s="54"/>
      <c r="H883" s="54"/>
      <c r="I883" s="54"/>
    </row>
    <row r="884" spans="1:9" ht="19.5" customHeight="1">
      <c r="A884" s="291" t="s">
        <v>35</v>
      </c>
      <c r="B884" s="36"/>
      <c r="C884" s="37" t="s">
        <v>1174</v>
      </c>
      <c r="D884" s="37" t="s">
        <v>661</v>
      </c>
      <c r="E884" s="37"/>
      <c r="F884" s="28"/>
      <c r="G884" s="26">
        <f>SUM(G885+G890)</f>
        <v>4900</v>
      </c>
      <c r="H884" s="26" t="e">
        <f>SUM(H888+H890+#REF!+H885)</f>
        <v>#REF!</v>
      </c>
      <c r="I884" s="26" t="e">
        <f aca="true" t="shared" si="28" ref="I884:I892">SUM(H884/G884*100)</f>
        <v>#REF!</v>
      </c>
    </row>
    <row r="885" spans="1:9" ht="0.75" customHeight="1" hidden="1">
      <c r="A885" s="291" t="s">
        <v>146</v>
      </c>
      <c r="B885" s="37"/>
      <c r="C885" s="37" t="s">
        <v>1174</v>
      </c>
      <c r="D885" s="37" t="s">
        <v>661</v>
      </c>
      <c r="E885" s="37" t="s">
        <v>1071</v>
      </c>
      <c r="F885" s="28"/>
      <c r="G885" s="26">
        <f>SUM(G887)</f>
        <v>0</v>
      </c>
      <c r="H885" s="26">
        <f>SUM(H887)</f>
        <v>0</v>
      </c>
      <c r="I885" s="26" t="e">
        <f t="shared" si="28"/>
        <v>#DIV/0!</v>
      </c>
    </row>
    <row r="886" spans="1:9" ht="27" customHeight="1" hidden="1">
      <c r="A886" s="291" t="s">
        <v>196</v>
      </c>
      <c r="B886" s="37"/>
      <c r="C886" s="37" t="s">
        <v>1174</v>
      </c>
      <c r="D886" s="37" t="s">
        <v>661</v>
      </c>
      <c r="E886" s="51" t="s">
        <v>197</v>
      </c>
      <c r="F886" s="28"/>
      <c r="G886" s="26">
        <f>SUM(G887)</f>
        <v>0</v>
      </c>
      <c r="H886" s="26">
        <f>SUM(H887)</f>
        <v>0</v>
      </c>
      <c r="I886" s="26" t="e">
        <f t="shared" si="28"/>
        <v>#DIV/0!</v>
      </c>
    </row>
    <row r="887" spans="1:9" ht="18" customHeight="1" hidden="1">
      <c r="A887" s="291" t="s">
        <v>198</v>
      </c>
      <c r="B887" s="37"/>
      <c r="C887" s="37" t="s">
        <v>1174</v>
      </c>
      <c r="D887" s="37" t="s">
        <v>661</v>
      </c>
      <c r="E887" s="51" t="s">
        <v>197</v>
      </c>
      <c r="F887" s="28" t="s">
        <v>199</v>
      </c>
      <c r="G887" s="26"/>
      <c r="H887" s="26"/>
      <c r="I887" s="26" t="e">
        <f t="shared" si="28"/>
        <v>#DIV/0!</v>
      </c>
    </row>
    <row r="888" spans="1:9" ht="20.25" customHeight="1" hidden="1">
      <c r="A888" s="292" t="s">
        <v>1079</v>
      </c>
      <c r="B888" s="37"/>
      <c r="C888" s="37" t="s">
        <v>1174</v>
      </c>
      <c r="D888" s="37" t="s">
        <v>661</v>
      </c>
      <c r="E888" s="37" t="s">
        <v>1080</v>
      </c>
      <c r="F888" s="28"/>
      <c r="G888" s="26">
        <f>SUM(G889)</f>
        <v>0</v>
      </c>
      <c r="H888" s="26">
        <f>SUM(H889)</f>
        <v>0</v>
      </c>
      <c r="I888" s="26" t="e">
        <f t="shared" si="28"/>
        <v>#DIV/0!</v>
      </c>
    </row>
    <row r="889" spans="1:9" ht="28.5" customHeight="1" hidden="1">
      <c r="A889" s="285" t="s">
        <v>1147</v>
      </c>
      <c r="B889" s="37"/>
      <c r="C889" s="37" t="s">
        <v>1174</v>
      </c>
      <c r="D889" s="37" t="s">
        <v>661</v>
      </c>
      <c r="E889" s="37" t="s">
        <v>1080</v>
      </c>
      <c r="F889" s="28" t="s">
        <v>1148</v>
      </c>
      <c r="G889" s="26"/>
      <c r="H889" s="26"/>
      <c r="I889" s="26" t="e">
        <f t="shared" si="28"/>
        <v>#DIV/0!</v>
      </c>
    </row>
    <row r="890" spans="1:9" ht="28.5">
      <c r="A890" s="285" t="s">
        <v>37</v>
      </c>
      <c r="B890" s="23"/>
      <c r="C890" s="37" t="s">
        <v>1174</v>
      </c>
      <c r="D890" s="37" t="s">
        <v>661</v>
      </c>
      <c r="E890" s="24" t="s">
        <v>38</v>
      </c>
      <c r="F890" s="28"/>
      <c r="G890" s="26">
        <f>SUM(G891)</f>
        <v>4900</v>
      </c>
      <c r="H890" s="26">
        <f>SUM(H891)</f>
        <v>200</v>
      </c>
      <c r="I890" s="26">
        <f t="shared" si="28"/>
        <v>4.081632653061225</v>
      </c>
    </row>
    <row r="891" spans="1:9" ht="15">
      <c r="A891" s="285" t="s">
        <v>1081</v>
      </c>
      <c r="B891" s="23"/>
      <c r="C891" s="37" t="s">
        <v>1174</v>
      </c>
      <c r="D891" s="37" t="s">
        <v>661</v>
      </c>
      <c r="E891" s="24" t="s">
        <v>1082</v>
      </c>
      <c r="F891" s="28"/>
      <c r="G891" s="26">
        <f>SUM(G892)</f>
        <v>4900</v>
      </c>
      <c r="H891" s="26">
        <f>SUM(H892)</f>
        <v>200</v>
      </c>
      <c r="I891" s="26">
        <f t="shared" si="28"/>
        <v>4.081632653061225</v>
      </c>
    </row>
    <row r="892" spans="1:9" ht="29.25" customHeight="1">
      <c r="A892" s="285" t="s">
        <v>1147</v>
      </c>
      <c r="B892" s="23"/>
      <c r="C892" s="37" t="s">
        <v>1174</v>
      </c>
      <c r="D892" s="37" t="s">
        <v>661</v>
      </c>
      <c r="E892" s="24" t="s">
        <v>1082</v>
      </c>
      <c r="F892" s="28" t="s">
        <v>1148</v>
      </c>
      <c r="G892" s="26">
        <v>4900</v>
      </c>
      <c r="H892" s="26">
        <v>200</v>
      </c>
      <c r="I892" s="26">
        <f t="shared" si="28"/>
        <v>4.081632653061225</v>
      </c>
    </row>
    <row r="893" spans="1:9" s="58" customFormat="1" ht="18" customHeight="1">
      <c r="A893" s="291" t="s">
        <v>1086</v>
      </c>
      <c r="B893" s="36"/>
      <c r="C893" s="37" t="s">
        <v>1190</v>
      </c>
      <c r="D893" s="37"/>
      <c r="E893" s="37"/>
      <c r="F893" s="29"/>
      <c r="G893" s="26">
        <f>SUM(G905,G894)</f>
        <v>9500</v>
      </c>
      <c r="H893" s="164" t="e">
        <f>SUM(#REF!+H1045+H1092+H1117)</f>
        <v>#REF!</v>
      </c>
      <c r="I893" s="26" t="e">
        <f aca="true" t="shared" si="29" ref="I893:I916">SUM(H893/G893*100)</f>
        <v>#REF!</v>
      </c>
    </row>
    <row r="894" spans="1:9" ht="21" customHeight="1" hidden="1">
      <c r="A894" s="291" t="s">
        <v>1087</v>
      </c>
      <c r="B894" s="36"/>
      <c r="C894" s="37" t="s">
        <v>1190</v>
      </c>
      <c r="D894" s="37" t="s">
        <v>1140</v>
      </c>
      <c r="E894" s="37"/>
      <c r="F894" s="28"/>
      <c r="G894" s="26">
        <f>SUM(G895,G903)</f>
        <v>0</v>
      </c>
      <c r="H894" s="26" t="e">
        <f>SUM(#REF!+H1004)+#REF!+H995+H897</f>
        <v>#REF!</v>
      </c>
      <c r="I894" s="26" t="e">
        <f t="shared" si="29"/>
        <v>#REF!</v>
      </c>
    </row>
    <row r="895" spans="1:9" s="39" customFormat="1" ht="27" customHeight="1" hidden="1">
      <c r="A895" s="293" t="s">
        <v>979</v>
      </c>
      <c r="B895" s="66"/>
      <c r="C895" s="24" t="s">
        <v>1190</v>
      </c>
      <c r="D895" s="24" t="s">
        <v>1140</v>
      </c>
      <c r="E895" s="24" t="s">
        <v>1089</v>
      </c>
      <c r="F895" s="25"/>
      <c r="G895" s="26">
        <f>SUM(G896+G899)</f>
        <v>0</v>
      </c>
      <c r="H895" s="26" t="e">
        <f>SUM(H896+H909)</f>
        <v>#REF!</v>
      </c>
      <c r="I895" s="26" t="e">
        <f t="shared" si="29"/>
        <v>#REF!</v>
      </c>
    </row>
    <row r="896" spans="1:9" ht="45" customHeight="1" hidden="1">
      <c r="A896" s="292" t="s">
        <v>977</v>
      </c>
      <c r="B896" s="36"/>
      <c r="C896" s="37" t="s">
        <v>1190</v>
      </c>
      <c r="D896" s="37" t="s">
        <v>1140</v>
      </c>
      <c r="E896" s="37" t="s">
        <v>1091</v>
      </c>
      <c r="F896" s="28"/>
      <c r="G896" s="26">
        <f>SUM(G897)</f>
        <v>0</v>
      </c>
      <c r="H896" s="26" t="e">
        <f>SUM(#REF!)</f>
        <v>#REF!</v>
      </c>
      <c r="I896" s="26" t="e">
        <f t="shared" si="29"/>
        <v>#REF!</v>
      </c>
    </row>
    <row r="897" spans="1:9" ht="75" customHeight="1" hidden="1">
      <c r="A897" s="292" t="s">
        <v>976</v>
      </c>
      <c r="B897" s="36"/>
      <c r="C897" s="37" t="s">
        <v>1190</v>
      </c>
      <c r="D897" s="37" t="s">
        <v>1140</v>
      </c>
      <c r="E897" s="37" t="s">
        <v>1043</v>
      </c>
      <c r="F897" s="28"/>
      <c r="G897" s="26">
        <f>SUM(G898)</f>
        <v>0</v>
      </c>
      <c r="H897" s="26">
        <v>872.8</v>
      </c>
      <c r="I897" s="26" t="e">
        <f t="shared" si="29"/>
        <v>#DIV/0!</v>
      </c>
    </row>
    <row r="898" spans="1:9" ht="15" hidden="1">
      <c r="A898" s="291" t="s">
        <v>261</v>
      </c>
      <c r="B898" s="36"/>
      <c r="C898" s="37" t="s">
        <v>1190</v>
      </c>
      <c r="D898" s="37" t="s">
        <v>1140</v>
      </c>
      <c r="E898" s="37" t="s">
        <v>1043</v>
      </c>
      <c r="F898" s="25" t="s">
        <v>199</v>
      </c>
      <c r="G898" s="54"/>
      <c r="H898" s="26" t="e">
        <f>SUM(#REF!)</f>
        <v>#REF!</v>
      </c>
      <c r="I898" s="26" t="e">
        <f t="shared" si="29"/>
        <v>#REF!</v>
      </c>
    </row>
    <row r="899" spans="1:9" ht="45" customHeight="1" hidden="1">
      <c r="A899" s="292" t="s">
        <v>978</v>
      </c>
      <c r="B899" s="36"/>
      <c r="C899" s="37" t="s">
        <v>1190</v>
      </c>
      <c r="D899" s="37" t="s">
        <v>1140</v>
      </c>
      <c r="E899" s="37" t="s">
        <v>1093</v>
      </c>
      <c r="F899" s="28"/>
      <c r="G899" s="26">
        <f>SUM(G900)</f>
        <v>0</v>
      </c>
      <c r="H899" s="26" t="e">
        <f>SUM(#REF!)</f>
        <v>#REF!</v>
      </c>
      <c r="I899" s="26" t="e">
        <f t="shared" si="29"/>
        <v>#REF!</v>
      </c>
    </row>
    <row r="900" spans="1:9" ht="42.75" customHeight="1" hidden="1">
      <c r="A900" s="292" t="s">
        <v>1098</v>
      </c>
      <c r="B900" s="36"/>
      <c r="C900" s="37" t="s">
        <v>1190</v>
      </c>
      <c r="D900" s="37" t="s">
        <v>1140</v>
      </c>
      <c r="E900" s="37" t="s">
        <v>1099</v>
      </c>
      <c r="F900" s="28"/>
      <c r="G900" s="26">
        <f>SUM(G902,G901)</f>
        <v>0</v>
      </c>
      <c r="H900" s="26">
        <v>872.8</v>
      </c>
      <c r="I900" s="26" t="e">
        <f t="shared" si="29"/>
        <v>#DIV/0!</v>
      </c>
    </row>
    <row r="901" spans="1:9" ht="27" customHeight="1" hidden="1">
      <c r="A901" s="292" t="s">
        <v>198</v>
      </c>
      <c r="B901" s="36"/>
      <c r="C901" s="37" t="s">
        <v>1190</v>
      </c>
      <c r="D901" s="37" t="s">
        <v>1140</v>
      </c>
      <c r="E901" s="37" t="s">
        <v>1099</v>
      </c>
      <c r="F901" s="28" t="s">
        <v>199</v>
      </c>
      <c r="G901" s="26"/>
      <c r="H901" s="26"/>
      <c r="I901" s="26"/>
    </row>
    <row r="902" spans="1:9" ht="15" hidden="1">
      <c r="A902" s="342" t="s">
        <v>1111</v>
      </c>
      <c r="B902" s="36"/>
      <c r="C902" s="37" t="s">
        <v>1190</v>
      </c>
      <c r="D902" s="37" t="s">
        <v>1140</v>
      </c>
      <c r="E902" s="37" t="s">
        <v>1099</v>
      </c>
      <c r="F902" s="25" t="s">
        <v>1112</v>
      </c>
      <c r="G902" s="54"/>
      <c r="H902" s="26" t="e">
        <f>SUM(#REF!)</f>
        <v>#REF!</v>
      </c>
      <c r="I902" s="26" t="e">
        <f t="shared" si="29"/>
        <v>#REF!</v>
      </c>
    </row>
    <row r="903" spans="1:9" ht="15" hidden="1">
      <c r="A903" s="342" t="s">
        <v>1053</v>
      </c>
      <c r="B903" s="36"/>
      <c r="C903" s="37" t="s">
        <v>1190</v>
      </c>
      <c r="D903" s="37" t="s">
        <v>1140</v>
      </c>
      <c r="E903" s="37" t="s">
        <v>1052</v>
      </c>
      <c r="F903" s="25"/>
      <c r="G903" s="54">
        <f>SUM(G904)</f>
        <v>0</v>
      </c>
      <c r="H903" s="26"/>
      <c r="I903" s="26"/>
    </row>
    <row r="904" spans="1:9" ht="15" hidden="1">
      <c r="A904" s="342" t="s">
        <v>198</v>
      </c>
      <c r="B904" s="36"/>
      <c r="C904" s="37" t="s">
        <v>1190</v>
      </c>
      <c r="D904" s="37" t="s">
        <v>1140</v>
      </c>
      <c r="E904" s="37" t="s">
        <v>1052</v>
      </c>
      <c r="F904" s="28" t="s">
        <v>199</v>
      </c>
      <c r="G904" s="54"/>
      <c r="H904" s="26"/>
      <c r="I904" s="26"/>
    </row>
    <row r="905" spans="1:9" ht="21" customHeight="1">
      <c r="A905" s="291" t="s">
        <v>470</v>
      </c>
      <c r="B905" s="36"/>
      <c r="C905" s="37" t="s">
        <v>1190</v>
      </c>
      <c r="D905" s="37" t="s">
        <v>1142</v>
      </c>
      <c r="E905" s="37"/>
      <c r="F905" s="28"/>
      <c r="G905" s="26">
        <f>SUM(G906,G909,G912)</f>
        <v>9500</v>
      </c>
      <c r="H905" s="26" t="e">
        <f>SUM(#REF!+H1008)+#REF!+H1004+H910</f>
        <v>#REF!</v>
      </c>
      <c r="I905" s="26" t="e">
        <f t="shared" si="29"/>
        <v>#REF!</v>
      </c>
    </row>
    <row r="906" spans="1:9" ht="27.75" customHeight="1" hidden="1">
      <c r="A906" s="292" t="s">
        <v>980</v>
      </c>
      <c r="B906" s="36"/>
      <c r="C906" s="37" t="s">
        <v>1190</v>
      </c>
      <c r="D906" s="37" t="s">
        <v>1142</v>
      </c>
      <c r="E906" s="37" t="s">
        <v>933</v>
      </c>
      <c r="F906" s="28"/>
      <c r="G906" s="26">
        <f>SUM(G907)</f>
        <v>0</v>
      </c>
      <c r="H906" s="26" t="e">
        <f>SUM(#REF!)</f>
        <v>#REF!</v>
      </c>
      <c r="I906" s="26" t="e">
        <f t="shared" si="29"/>
        <v>#REF!</v>
      </c>
    </row>
    <row r="907" spans="1:9" ht="27" customHeight="1" hidden="1">
      <c r="A907" s="287" t="s">
        <v>981</v>
      </c>
      <c r="B907" s="36"/>
      <c r="C907" s="37" t="s">
        <v>1190</v>
      </c>
      <c r="D907" s="37" t="s">
        <v>1142</v>
      </c>
      <c r="E907" s="37" t="s">
        <v>935</v>
      </c>
      <c r="F907" s="28"/>
      <c r="G907" s="26">
        <f>SUM(G908)</f>
        <v>0</v>
      </c>
      <c r="H907" s="26">
        <v>872.8</v>
      </c>
      <c r="I907" s="26" t="e">
        <f t="shared" si="29"/>
        <v>#DIV/0!</v>
      </c>
    </row>
    <row r="908" spans="1:9" ht="15" hidden="1">
      <c r="A908" s="285" t="s">
        <v>1001</v>
      </c>
      <c r="B908" s="36"/>
      <c r="C908" s="37" t="s">
        <v>1190</v>
      </c>
      <c r="D908" s="37" t="s">
        <v>1142</v>
      </c>
      <c r="E908" s="37" t="s">
        <v>935</v>
      </c>
      <c r="F908" s="25" t="s">
        <v>1002</v>
      </c>
      <c r="G908" s="54"/>
      <c r="H908" s="26" t="e">
        <f>SUM(#REF!)</f>
        <v>#REF!</v>
      </c>
      <c r="I908" s="26" t="e">
        <f t="shared" si="29"/>
        <v>#REF!</v>
      </c>
    </row>
    <row r="909" spans="1:9" ht="21" customHeight="1">
      <c r="A909" s="292" t="s">
        <v>936</v>
      </c>
      <c r="B909" s="36"/>
      <c r="C909" s="37" t="s">
        <v>1190</v>
      </c>
      <c r="D909" s="37" t="s">
        <v>1142</v>
      </c>
      <c r="E909" s="37" t="s">
        <v>472</v>
      </c>
      <c r="F909" s="28"/>
      <c r="G909" s="26">
        <f>SUM(G910)</f>
        <v>9500</v>
      </c>
      <c r="H909" s="26" t="e">
        <f>SUM(#REF!)</f>
        <v>#REF!</v>
      </c>
      <c r="I909" s="26" t="e">
        <f t="shared" si="29"/>
        <v>#REF!</v>
      </c>
    </row>
    <row r="910" spans="1:9" ht="27" customHeight="1">
      <c r="A910" s="287" t="s">
        <v>443</v>
      </c>
      <c r="B910" s="36"/>
      <c r="C910" s="37" t="s">
        <v>1190</v>
      </c>
      <c r="D910" s="37" t="s">
        <v>1142</v>
      </c>
      <c r="E910" s="37" t="s">
        <v>444</v>
      </c>
      <c r="F910" s="28"/>
      <c r="G910" s="26">
        <f>SUM(G911)</f>
        <v>9500</v>
      </c>
      <c r="H910" s="26">
        <v>872.8</v>
      </c>
      <c r="I910" s="26">
        <f t="shared" si="29"/>
        <v>9.187368421052632</v>
      </c>
    </row>
    <row r="911" spans="1:9" ht="27" customHeight="1">
      <c r="A911" s="285" t="s">
        <v>1147</v>
      </c>
      <c r="B911" s="36"/>
      <c r="C911" s="37" t="s">
        <v>1190</v>
      </c>
      <c r="D911" s="37" t="s">
        <v>1142</v>
      </c>
      <c r="E911" s="37" t="s">
        <v>444</v>
      </c>
      <c r="F911" s="25" t="s">
        <v>1148</v>
      </c>
      <c r="G911" s="54">
        <v>9500</v>
      </c>
      <c r="H911" s="26" t="e">
        <f>SUM(#REF!)</f>
        <v>#REF!</v>
      </c>
      <c r="I911" s="26" t="e">
        <f t="shared" si="29"/>
        <v>#REF!</v>
      </c>
    </row>
    <row r="912" spans="1:9" ht="15" hidden="1">
      <c r="A912" s="297" t="s">
        <v>1186</v>
      </c>
      <c r="B912" s="36"/>
      <c r="C912" s="37" t="s">
        <v>1190</v>
      </c>
      <c r="D912" s="37" t="s">
        <v>1142</v>
      </c>
      <c r="E912" s="37" t="s">
        <v>1187</v>
      </c>
      <c r="F912" s="25"/>
      <c r="G912" s="54">
        <f>SUM(G913)</f>
        <v>0</v>
      </c>
      <c r="H912" s="26"/>
      <c r="I912" s="26"/>
    </row>
    <row r="913" spans="1:9" ht="15" hidden="1">
      <c r="A913" s="291"/>
      <c r="B913" s="36"/>
      <c r="C913" s="37" t="s">
        <v>1190</v>
      </c>
      <c r="D913" s="37" t="s">
        <v>1142</v>
      </c>
      <c r="E913" s="37" t="s">
        <v>1187</v>
      </c>
      <c r="F913" s="25"/>
      <c r="G913" s="54">
        <f>SUM(G914)</f>
        <v>0</v>
      </c>
      <c r="H913" s="26"/>
      <c r="I913" s="26"/>
    </row>
    <row r="914" spans="1:9" ht="0.75" customHeight="1" hidden="1">
      <c r="A914" s="291" t="s">
        <v>1147</v>
      </c>
      <c r="B914" s="36"/>
      <c r="C914" s="37" t="s">
        <v>1190</v>
      </c>
      <c r="D914" s="37" t="s">
        <v>1142</v>
      </c>
      <c r="E914" s="37" t="s">
        <v>1187</v>
      </c>
      <c r="F914" s="25" t="s">
        <v>1148</v>
      </c>
      <c r="G914" s="54">
        <f>6000-6000</f>
        <v>0</v>
      </c>
      <c r="H914" s="26"/>
      <c r="I914" s="26"/>
    </row>
    <row r="915" spans="1:9" s="2" customFormat="1" ht="21.75" customHeight="1">
      <c r="A915" s="299" t="s">
        <v>704</v>
      </c>
      <c r="B915" s="32"/>
      <c r="C915" s="84" t="s">
        <v>998</v>
      </c>
      <c r="D915" s="84" t="s">
        <v>705</v>
      </c>
      <c r="E915" s="84"/>
      <c r="F915" s="49"/>
      <c r="G915" s="54">
        <f>SUM(G916)+G936</f>
        <v>14527.2</v>
      </c>
      <c r="H915" s="54" t="e">
        <f>SUM(H916+H927+#REF!+H1120+H1139)</f>
        <v>#REF!</v>
      </c>
      <c r="I915" s="54" t="e">
        <f t="shared" si="29"/>
        <v>#REF!</v>
      </c>
    </row>
    <row r="916" spans="1:9" s="39" customFormat="1" ht="18" customHeight="1">
      <c r="A916" s="299" t="s">
        <v>1027</v>
      </c>
      <c r="B916" s="23"/>
      <c r="C916" s="84" t="s">
        <v>998</v>
      </c>
      <c r="D916" s="84" t="s">
        <v>1150</v>
      </c>
      <c r="E916" s="84"/>
      <c r="F916" s="49"/>
      <c r="G916" s="54">
        <f>SUM(G917+G924+G930)+G920</f>
        <v>7500</v>
      </c>
      <c r="H916" s="54">
        <f>SUM(H927+H1084+H1087+H1094+H924)</f>
        <v>53118.9</v>
      </c>
      <c r="I916" s="26">
        <f t="shared" si="29"/>
        <v>708.2520000000001</v>
      </c>
    </row>
    <row r="917" spans="1:9" s="39" customFormat="1" ht="28.5" customHeight="1" hidden="1">
      <c r="A917" s="287" t="s">
        <v>722</v>
      </c>
      <c r="B917" s="23"/>
      <c r="C917" s="24" t="s">
        <v>998</v>
      </c>
      <c r="D917" s="37" t="s">
        <v>1150</v>
      </c>
      <c r="E917" s="24" t="s">
        <v>263</v>
      </c>
      <c r="F917" s="25"/>
      <c r="G917" s="54">
        <f>SUM(G918)</f>
        <v>0</v>
      </c>
      <c r="H917" s="54"/>
      <c r="I917" s="26"/>
    </row>
    <row r="918" spans="1:9" s="39" customFormat="1" ht="28.5" customHeight="1" hidden="1">
      <c r="A918" s="287" t="s">
        <v>723</v>
      </c>
      <c r="B918" s="23"/>
      <c r="C918" s="37" t="s">
        <v>998</v>
      </c>
      <c r="D918" s="37" t="s">
        <v>1150</v>
      </c>
      <c r="E918" s="37" t="s">
        <v>724</v>
      </c>
      <c r="F918" s="28"/>
      <c r="G918" s="54">
        <f>SUM(G919)</f>
        <v>0</v>
      </c>
      <c r="H918" s="54"/>
      <c r="I918" s="26"/>
    </row>
    <row r="919" spans="1:9" s="39" customFormat="1" ht="15" customHeight="1" hidden="1">
      <c r="A919" s="287" t="s">
        <v>147</v>
      </c>
      <c r="B919" s="23"/>
      <c r="C919" s="37" t="s">
        <v>998</v>
      </c>
      <c r="D919" s="37" t="s">
        <v>1150</v>
      </c>
      <c r="E919" s="37" t="s">
        <v>724</v>
      </c>
      <c r="F919" s="28" t="s">
        <v>149</v>
      </c>
      <c r="G919" s="54"/>
      <c r="H919" s="54"/>
      <c r="I919" s="26"/>
    </row>
    <row r="920" spans="1:9" s="39" customFormat="1" ht="14.25" customHeight="1" hidden="1">
      <c r="A920" s="285" t="s">
        <v>1028</v>
      </c>
      <c r="B920" s="23"/>
      <c r="C920" s="24" t="s">
        <v>998</v>
      </c>
      <c r="D920" s="24" t="s">
        <v>1150</v>
      </c>
      <c r="E920" s="24" t="s">
        <v>1029</v>
      </c>
      <c r="F920" s="28"/>
      <c r="G920" s="54">
        <f>SUM(G921)</f>
        <v>0</v>
      </c>
      <c r="H920" s="54"/>
      <c r="I920" s="26"/>
    </row>
    <row r="921" spans="1:9" s="39" customFormat="1" ht="61.5" customHeight="1" hidden="1">
      <c r="A921" s="285" t="s">
        <v>760</v>
      </c>
      <c r="B921" s="23"/>
      <c r="C921" s="37" t="s">
        <v>998</v>
      </c>
      <c r="D921" s="37" t="s">
        <v>1150</v>
      </c>
      <c r="E921" s="24" t="s">
        <v>761</v>
      </c>
      <c r="F921" s="25"/>
      <c r="G921" s="26">
        <f>SUM(G922)</f>
        <v>0</v>
      </c>
      <c r="H921" s="54"/>
      <c r="I921" s="26"/>
    </row>
    <row r="922" spans="1:9" s="39" customFormat="1" ht="60.75" customHeight="1" hidden="1">
      <c r="A922" s="287" t="s">
        <v>762</v>
      </c>
      <c r="B922" s="23"/>
      <c r="C922" s="37" t="s">
        <v>998</v>
      </c>
      <c r="D922" s="37" t="s">
        <v>1150</v>
      </c>
      <c r="E922" s="24" t="s">
        <v>763</v>
      </c>
      <c r="F922" s="28"/>
      <c r="G922" s="26">
        <f>SUM(G923)</f>
        <v>0</v>
      </c>
      <c r="H922" s="54"/>
      <c r="I922" s="26"/>
    </row>
    <row r="923" spans="1:9" s="39" customFormat="1" ht="13.5" customHeight="1" hidden="1">
      <c r="A923" s="285" t="s">
        <v>960</v>
      </c>
      <c r="B923" s="91"/>
      <c r="C923" s="37" t="s">
        <v>998</v>
      </c>
      <c r="D923" s="37" t="s">
        <v>1150</v>
      </c>
      <c r="E923" s="24" t="s">
        <v>763</v>
      </c>
      <c r="F923" s="103" t="s">
        <v>961</v>
      </c>
      <c r="G923" s="54"/>
      <c r="H923" s="54"/>
      <c r="I923" s="26"/>
    </row>
    <row r="924" spans="1:9" ht="15" customHeight="1" hidden="1">
      <c r="A924" s="285" t="s">
        <v>990</v>
      </c>
      <c r="B924" s="56"/>
      <c r="C924" s="37" t="s">
        <v>998</v>
      </c>
      <c r="D924" s="37" t="s">
        <v>1150</v>
      </c>
      <c r="E924" s="37" t="s">
        <v>991</v>
      </c>
      <c r="F924" s="103"/>
      <c r="G924" s="54">
        <f>SUM(G925)</f>
        <v>0</v>
      </c>
      <c r="H924" s="26"/>
      <c r="I924" s="26"/>
    </row>
    <row r="925" spans="1:9" ht="42.75" hidden="1">
      <c r="A925" s="285" t="s">
        <v>697</v>
      </c>
      <c r="B925" s="91"/>
      <c r="C925" s="37" t="s">
        <v>998</v>
      </c>
      <c r="D925" s="37" t="s">
        <v>1150</v>
      </c>
      <c r="E925" s="37" t="s">
        <v>1124</v>
      </c>
      <c r="F925" s="103"/>
      <c r="G925" s="54">
        <f>SUM(G926)+G928</f>
        <v>0</v>
      </c>
      <c r="H925" s="26"/>
      <c r="I925" s="26"/>
    </row>
    <row r="926" spans="1:9" ht="28.5" hidden="1">
      <c r="A926" s="285" t="s">
        <v>698</v>
      </c>
      <c r="B926" s="91"/>
      <c r="C926" s="37" t="s">
        <v>998</v>
      </c>
      <c r="D926" s="37" t="s">
        <v>1150</v>
      </c>
      <c r="E926" s="37" t="s">
        <v>699</v>
      </c>
      <c r="F926" s="103"/>
      <c r="G926" s="54">
        <f>SUM(G927)</f>
        <v>0</v>
      </c>
      <c r="H926" s="26"/>
      <c r="I926" s="26"/>
    </row>
    <row r="927" spans="1:9" ht="15" hidden="1">
      <c r="A927" s="287" t="s">
        <v>147</v>
      </c>
      <c r="B927" s="91"/>
      <c r="C927" s="37" t="s">
        <v>998</v>
      </c>
      <c r="D927" s="37" t="s">
        <v>1150</v>
      </c>
      <c r="E927" s="37" t="s">
        <v>699</v>
      </c>
      <c r="F927" s="25" t="s">
        <v>149</v>
      </c>
      <c r="G927" s="54"/>
      <c r="H927" s="26"/>
      <c r="I927" s="26"/>
    </row>
    <row r="928" spans="1:9" ht="28.5" hidden="1">
      <c r="A928" s="285" t="s">
        <v>735</v>
      </c>
      <c r="B928" s="91"/>
      <c r="C928" s="37" t="s">
        <v>998</v>
      </c>
      <c r="D928" s="37" t="s">
        <v>1150</v>
      </c>
      <c r="E928" s="37" t="s">
        <v>148</v>
      </c>
      <c r="F928" s="103"/>
      <c r="G928" s="54">
        <f>SUM(G929)</f>
        <v>0</v>
      </c>
      <c r="H928" s="26"/>
      <c r="I928" s="26"/>
    </row>
    <row r="929" spans="1:9" ht="15" hidden="1">
      <c r="A929" s="285" t="s">
        <v>147</v>
      </c>
      <c r="B929" s="91"/>
      <c r="C929" s="37" t="s">
        <v>998</v>
      </c>
      <c r="D929" s="37" t="s">
        <v>1150</v>
      </c>
      <c r="E929" s="37" t="s">
        <v>148</v>
      </c>
      <c r="F929" s="103" t="s">
        <v>149</v>
      </c>
      <c r="G929" s="54"/>
      <c r="H929" s="26"/>
      <c r="I929" s="26"/>
    </row>
    <row r="930" spans="1:9" ht="15">
      <c r="A930" s="297" t="s">
        <v>1186</v>
      </c>
      <c r="B930" s="23"/>
      <c r="C930" s="37" t="s">
        <v>998</v>
      </c>
      <c r="D930" s="37" t="s">
        <v>1150</v>
      </c>
      <c r="E930" s="37" t="s">
        <v>1187</v>
      </c>
      <c r="F930" s="28"/>
      <c r="G930" s="26">
        <f>SUM(G931)</f>
        <v>7500</v>
      </c>
      <c r="H930" s="26"/>
      <c r="I930" s="26"/>
    </row>
    <row r="931" spans="1:9" ht="15">
      <c r="A931" s="299" t="s">
        <v>1147</v>
      </c>
      <c r="B931" s="23"/>
      <c r="C931" s="37" t="s">
        <v>998</v>
      </c>
      <c r="D931" s="37" t="s">
        <v>1150</v>
      </c>
      <c r="E931" s="37" t="s">
        <v>1187</v>
      </c>
      <c r="F931" s="28" t="s">
        <v>1148</v>
      </c>
      <c r="G931" s="26">
        <f>SUM(G932:G933)</f>
        <v>7500</v>
      </c>
      <c r="H931" s="26"/>
      <c r="I931" s="26"/>
    </row>
    <row r="932" spans="1:9" ht="42" customHeight="1">
      <c r="A932" s="299" t="s">
        <v>814</v>
      </c>
      <c r="B932" s="23"/>
      <c r="C932" s="37" t="s">
        <v>998</v>
      </c>
      <c r="D932" s="37" t="s">
        <v>1150</v>
      </c>
      <c r="E932" s="37" t="s">
        <v>815</v>
      </c>
      <c r="F932" s="28" t="s">
        <v>1148</v>
      </c>
      <c r="G932" s="26">
        <v>3000</v>
      </c>
      <c r="H932" s="26"/>
      <c r="I932" s="26"/>
    </row>
    <row r="933" spans="1:9" ht="28.5">
      <c r="A933" s="299" t="s">
        <v>221</v>
      </c>
      <c r="B933" s="23"/>
      <c r="C933" s="37" t="s">
        <v>998</v>
      </c>
      <c r="D933" s="37" t="s">
        <v>1150</v>
      </c>
      <c r="E933" s="33" t="s">
        <v>454</v>
      </c>
      <c r="F933" s="25" t="s">
        <v>1148</v>
      </c>
      <c r="G933" s="26">
        <f>SUM(G934:G935)</f>
        <v>4500</v>
      </c>
      <c r="H933" s="26"/>
      <c r="I933" s="26"/>
    </row>
    <row r="934" spans="1:9" ht="36.75" customHeight="1">
      <c r="A934" s="285" t="s">
        <v>698</v>
      </c>
      <c r="B934" s="36"/>
      <c r="C934" s="37" t="s">
        <v>998</v>
      </c>
      <c r="D934" s="37" t="s">
        <v>1150</v>
      </c>
      <c r="E934" s="33" t="s">
        <v>153</v>
      </c>
      <c r="F934" s="25" t="s">
        <v>1148</v>
      </c>
      <c r="G934" s="54">
        <v>3500</v>
      </c>
      <c r="H934" s="26"/>
      <c r="I934" s="26"/>
    </row>
    <row r="935" spans="1:9" ht="53.25" customHeight="1">
      <c r="A935" s="285" t="s">
        <v>735</v>
      </c>
      <c r="B935" s="36"/>
      <c r="C935" s="37" t="s">
        <v>998</v>
      </c>
      <c r="D935" s="37" t="s">
        <v>1150</v>
      </c>
      <c r="E935" s="33" t="s">
        <v>318</v>
      </c>
      <c r="F935" s="25" t="s">
        <v>1148</v>
      </c>
      <c r="G935" s="54">
        <v>1000</v>
      </c>
      <c r="H935" s="26"/>
      <c r="I935" s="26"/>
    </row>
    <row r="936" spans="1:9" ht="17.25" customHeight="1">
      <c r="A936" s="287" t="s">
        <v>319</v>
      </c>
      <c r="B936" s="23"/>
      <c r="C936" s="33" t="s">
        <v>998</v>
      </c>
      <c r="D936" s="84" t="s">
        <v>1174</v>
      </c>
      <c r="E936" s="84"/>
      <c r="F936" s="29"/>
      <c r="G936" s="54">
        <f>SUM(G937)</f>
        <v>7027.2</v>
      </c>
      <c r="H936" s="54">
        <f>SUM(H937)</f>
        <v>0</v>
      </c>
      <c r="I936" s="26">
        <f>SUM(H936/G936*100)</f>
        <v>0</v>
      </c>
    </row>
    <row r="937" spans="1:9" s="39" customFormat="1" ht="61.5" customHeight="1">
      <c r="A937" s="285" t="s">
        <v>760</v>
      </c>
      <c r="B937" s="23"/>
      <c r="C937" s="33" t="s">
        <v>998</v>
      </c>
      <c r="D937" s="84" t="s">
        <v>1174</v>
      </c>
      <c r="E937" s="24" t="s">
        <v>761</v>
      </c>
      <c r="F937" s="25"/>
      <c r="G937" s="26">
        <f>SUM(G938)</f>
        <v>7027.2</v>
      </c>
      <c r="H937" s="54"/>
      <c r="I937" s="26"/>
    </row>
    <row r="938" spans="1:9" s="39" customFormat="1" ht="60.75" customHeight="1">
      <c r="A938" s="287" t="s">
        <v>762</v>
      </c>
      <c r="B938" s="23"/>
      <c r="C938" s="33" t="s">
        <v>998</v>
      </c>
      <c r="D938" s="84" t="s">
        <v>1174</v>
      </c>
      <c r="E938" s="24" t="s">
        <v>763</v>
      </c>
      <c r="F938" s="28"/>
      <c r="G938" s="26">
        <f>SUM(G939)</f>
        <v>7027.2</v>
      </c>
      <c r="H938" s="54"/>
      <c r="I938" s="26"/>
    </row>
    <row r="939" spans="1:9" s="39" customFormat="1" ht="16.5" customHeight="1">
      <c r="A939" s="285" t="s">
        <v>960</v>
      </c>
      <c r="B939" s="91"/>
      <c r="C939" s="33" t="s">
        <v>998</v>
      </c>
      <c r="D939" s="84" t="s">
        <v>1174</v>
      </c>
      <c r="E939" s="24" t="s">
        <v>763</v>
      </c>
      <c r="F939" s="103" t="s">
        <v>961</v>
      </c>
      <c r="G939" s="54">
        <v>7027.2</v>
      </c>
      <c r="H939" s="54"/>
      <c r="I939" s="26"/>
    </row>
    <row r="940" spans="1:9" s="333" customFormat="1" ht="15" hidden="1">
      <c r="A940" s="299" t="s">
        <v>134</v>
      </c>
      <c r="B940" s="32"/>
      <c r="C940" s="33" t="s">
        <v>36</v>
      </c>
      <c r="D940" s="33"/>
      <c r="E940" s="33"/>
      <c r="F940" s="103"/>
      <c r="G940" s="54">
        <f>SUM(G941)</f>
        <v>0</v>
      </c>
      <c r="H940" s="54" t="e">
        <f>SUM(H941+#REF!+H954+H960+H970+H978)</f>
        <v>#REF!</v>
      </c>
      <c r="I940" s="54" t="e">
        <f>SUM(H940/G940*100)</f>
        <v>#REF!</v>
      </c>
    </row>
    <row r="941" spans="1:9" ht="15" hidden="1">
      <c r="A941" s="285" t="s">
        <v>114</v>
      </c>
      <c r="B941" s="23"/>
      <c r="C941" s="24" t="s">
        <v>36</v>
      </c>
      <c r="D941" s="24" t="s">
        <v>1190</v>
      </c>
      <c r="E941" s="37"/>
      <c r="F941" s="28"/>
      <c r="G941" s="54">
        <f>SUM(G942)</f>
        <v>0</v>
      </c>
      <c r="H941" s="26"/>
      <c r="I941" s="26"/>
    </row>
    <row r="942" spans="1:9" ht="15" hidden="1">
      <c r="A942" s="297" t="s">
        <v>1186</v>
      </c>
      <c r="B942" s="36"/>
      <c r="C942" s="24" t="s">
        <v>36</v>
      </c>
      <c r="D942" s="24" t="s">
        <v>1190</v>
      </c>
      <c r="E942" s="37" t="s">
        <v>1187</v>
      </c>
      <c r="F942" s="28"/>
      <c r="G942" s="54">
        <f>SUM(G943)</f>
        <v>0</v>
      </c>
      <c r="H942" s="26" t="e">
        <f>SUM(#REF!)+#REF!+#REF!</f>
        <v>#REF!</v>
      </c>
      <c r="I942" s="26" t="e">
        <f>SUM(H942/G942*100)</f>
        <v>#REF!</v>
      </c>
    </row>
    <row r="943" spans="1:9" ht="28.5" hidden="1">
      <c r="A943" s="285" t="s">
        <v>703</v>
      </c>
      <c r="B943" s="23"/>
      <c r="C943" s="24" t="s">
        <v>36</v>
      </c>
      <c r="D943" s="24" t="s">
        <v>1190</v>
      </c>
      <c r="E943" s="37" t="s">
        <v>469</v>
      </c>
      <c r="F943" s="103"/>
      <c r="G943" s="54">
        <f>SUM(G944)</f>
        <v>0</v>
      </c>
      <c r="H943" s="54">
        <f>SUM(H944)</f>
        <v>1042.3</v>
      </c>
      <c r="I943" s="26" t="e">
        <f>SUM(H943/G943*100)</f>
        <v>#DIV/0!</v>
      </c>
    </row>
    <row r="944" spans="1:9" ht="15" hidden="1">
      <c r="A944" s="291" t="s">
        <v>261</v>
      </c>
      <c r="B944" s="23"/>
      <c r="C944" s="24" t="s">
        <v>36</v>
      </c>
      <c r="D944" s="24" t="s">
        <v>1190</v>
      </c>
      <c r="E944" s="37" t="s">
        <v>469</v>
      </c>
      <c r="F944" s="103" t="s">
        <v>199</v>
      </c>
      <c r="G944" s="54"/>
      <c r="H944" s="54">
        <v>1042.3</v>
      </c>
      <c r="I944" s="26" t="e">
        <f>SUM(H944/G944*100)</f>
        <v>#DIV/0!</v>
      </c>
    </row>
    <row r="945" spans="1:9" ht="37.5" customHeight="1">
      <c r="A945" s="298" t="s">
        <v>822</v>
      </c>
      <c r="B945" s="96" t="s">
        <v>741</v>
      </c>
      <c r="C945" s="46"/>
      <c r="D945" s="94"/>
      <c r="E945" s="94"/>
      <c r="F945" s="95"/>
      <c r="G945" s="161">
        <f>SUM(G946+G955+G984)</f>
        <v>56421.600000000006</v>
      </c>
      <c r="H945" s="161" t="e">
        <f>SUM(#REF!+H1054)</f>
        <v>#REF!</v>
      </c>
      <c r="I945" s="26" t="e">
        <f>SUM(H945/G945*100)</f>
        <v>#REF!</v>
      </c>
    </row>
    <row r="946" spans="1:9" ht="18.75" customHeight="1" hidden="1">
      <c r="A946" s="285" t="s">
        <v>1139</v>
      </c>
      <c r="B946" s="23"/>
      <c r="C946" s="24" t="s">
        <v>1140</v>
      </c>
      <c r="D946" s="24"/>
      <c r="E946" s="24"/>
      <c r="F946" s="25"/>
      <c r="G946" s="26">
        <f>SUM(G947+G951)</f>
        <v>0</v>
      </c>
      <c r="H946" s="161"/>
      <c r="I946" s="26"/>
    </row>
    <row r="947" spans="1:9" ht="30.75" customHeight="1" hidden="1">
      <c r="A947" s="285" t="s">
        <v>1179</v>
      </c>
      <c r="B947" s="23"/>
      <c r="C947" s="24" t="s">
        <v>1140</v>
      </c>
      <c r="D947" s="24" t="s">
        <v>1174</v>
      </c>
      <c r="E947" s="24"/>
      <c r="F947" s="25"/>
      <c r="G947" s="26">
        <f>SUM(G948)</f>
        <v>0</v>
      </c>
      <c r="H947" s="161"/>
      <c r="I947" s="26"/>
    </row>
    <row r="948" spans="1:9" ht="30.75" customHeight="1" hidden="1">
      <c r="A948" s="285" t="s">
        <v>1143</v>
      </c>
      <c r="B948" s="23"/>
      <c r="C948" s="24" t="s">
        <v>1140</v>
      </c>
      <c r="D948" s="24" t="s">
        <v>1174</v>
      </c>
      <c r="E948" s="24" t="s">
        <v>1144</v>
      </c>
      <c r="F948" s="28"/>
      <c r="G948" s="26">
        <f>SUM(G949)</f>
        <v>0</v>
      </c>
      <c r="H948" s="161"/>
      <c r="I948" s="26"/>
    </row>
    <row r="949" spans="1:9" ht="20.25" customHeight="1" hidden="1">
      <c r="A949" s="285" t="s">
        <v>1151</v>
      </c>
      <c r="B949" s="23"/>
      <c r="C949" s="24" t="s">
        <v>1140</v>
      </c>
      <c r="D949" s="24" t="s">
        <v>1174</v>
      </c>
      <c r="E949" s="24" t="s">
        <v>1153</v>
      </c>
      <c r="F949" s="28"/>
      <c r="G949" s="26">
        <f>SUM(G950)</f>
        <v>0</v>
      </c>
      <c r="H949" s="161"/>
      <c r="I949" s="26"/>
    </row>
    <row r="950" spans="1:9" ht="30.75" customHeight="1" hidden="1">
      <c r="A950" s="285" t="s">
        <v>1147</v>
      </c>
      <c r="B950" s="23"/>
      <c r="C950" s="24" t="s">
        <v>1140</v>
      </c>
      <c r="D950" s="24" t="s">
        <v>1174</v>
      </c>
      <c r="E950" s="24" t="s">
        <v>1153</v>
      </c>
      <c r="F950" s="25" t="s">
        <v>1148</v>
      </c>
      <c r="G950" s="26"/>
      <c r="H950" s="161"/>
      <c r="I950" s="26"/>
    </row>
    <row r="951" spans="1:9" ht="15" hidden="1">
      <c r="A951" s="285" t="s">
        <v>1156</v>
      </c>
      <c r="B951" s="23"/>
      <c r="C951" s="24" t="s">
        <v>1140</v>
      </c>
      <c r="D951" s="24" t="s">
        <v>664</v>
      </c>
      <c r="E951" s="24"/>
      <c r="F951" s="28"/>
      <c r="G951" s="26">
        <f>SUM(G952)</f>
        <v>0</v>
      </c>
      <c r="H951" s="26">
        <f>SUM(H952)</f>
        <v>186.6</v>
      </c>
      <c r="I951" s="26" t="e">
        <f>SUM(H951/G951*100)</f>
        <v>#DIV/0!</v>
      </c>
    </row>
    <row r="952" spans="1:9" ht="28.5" hidden="1">
      <c r="A952" s="287" t="s">
        <v>1158</v>
      </c>
      <c r="B952" s="23"/>
      <c r="C952" s="24" t="s">
        <v>1140</v>
      </c>
      <c r="D952" s="24" t="s">
        <v>664</v>
      </c>
      <c r="E952" s="24" t="s">
        <v>1159</v>
      </c>
      <c r="F952" s="29"/>
      <c r="G952" s="26">
        <f>SUM(G954)</f>
        <v>0</v>
      </c>
      <c r="H952" s="26">
        <f>SUM(H954)</f>
        <v>186.6</v>
      </c>
      <c r="I952" s="26" t="e">
        <f>SUM(H952/G952*100)</f>
        <v>#DIV/0!</v>
      </c>
    </row>
    <row r="953" spans="1:9" ht="15" hidden="1">
      <c r="A953" s="287" t="s">
        <v>1160</v>
      </c>
      <c r="B953" s="23"/>
      <c r="C953" s="24" t="s">
        <v>1140</v>
      </c>
      <c r="D953" s="24" t="s">
        <v>664</v>
      </c>
      <c r="E953" s="24" t="s">
        <v>145</v>
      </c>
      <c r="F953" s="29"/>
      <c r="G953" s="26">
        <f>SUM(G954)</f>
        <v>0</v>
      </c>
      <c r="H953" s="26">
        <f>SUM(H954)</f>
        <v>186.6</v>
      </c>
      <c r="I953" s="26" t="e">
        <f>SUM(H953/G953*100)</f>
        <v>#DIV/0!</v>
      </c>
    </row>
    <row r="954" spans="1:9" ht="27" customHeight="1" hidden="1">
      <c r="A954" s="285" t="s">
        <v>1147</v>
      </c>
      <c r="B954" s="23"/>
      <c r="C954" s="24" t="s">
        <v>1140</v>
      </c>
      <c r="D954" s="24" t="s">
        <v>664</v>
      </c>
      <c r="E954" s="24" t="s">
        <v>145</v>
      </c>
      <c r="F954" s="29" t="s">
        <v>1148</v>
      </c>
      <c r="G954" s="26">
        <f>276.8-276.8</f>
        <v>0</v>
      </c>
      <c r="H954" s="26">
        <v>186.6</v>
      </c>
      <c r="I954" s="26" t="e">
        <f>SUM(H954/G954*100)</f>
        <v>#DIV/0!</v>
      </c>
    </row>
    <row r="955" spans="1:9" s="333" customFormat="1" ht="15">
      <c r="A955" s="299" t="s">
        <v>1162</v>
      </c>
      <c r="B955" s="32"/>
      <c r="C955" s="33" t="s">
        <v>1163</v>
      </c>
      <c r="D955" s="33"/>
      <c r="E955" s="33"/>
      <c r="F955" s="103"/>
      <c r="G955" s="26">
        <f>SUM(G956,G963,G975)</f>
        <v>49851.8</v>
      </c>
      <c r="H955" s="54" t="e">
        <f>SUM(H956+H996+H1087+H1117)</f>
        <v>#REF!</v>
      </c>
      <c r="I955" s="54" t="e">
        <f aca="true" t="shared" si="30" ref="I955:I990">SUM(H955/G955*100)</f>
        <v>#REF!</v>
      </c>
    </row>
    <row r="956" spans="1:9" s="97" customFormat="1" ht="15.75" customHeight="1">
      <c r="A956" s="285" t="s">
        <v>565</v>
      </c>
      <c r="B956" s="96"/>
      <c r="C956" s="37" t="s">
        <v>1163</v>
      </c>
      <c r="D956" s="37" t="s">
        <v>1142</v>
      </c>
      <c r="E956" s="37"/>
      <c r="F956" s="28"/>
      <c r="G956" s="26">
        <f>SUM(G957)</f>
        <v>46558</v>
      </c>
      <c r="H956" s="26" t="e">
        <f>SUM(H986+#REF!+H1019+H1040)+H1047+H1012+H1031+H1028+H957+H1053</f>
        <v>#REF!</v>
      </c>
      <c r="I956" s="26" t="e">
        <f t="shared" si="30"/>
        <v>#REF!</v>
      </c>
    </row>
    <row r="957" spans="1:9" ht="18" customHeight="1">
      <c r="A957" s="285" t="s">
        <v>856</v>
      </c>
      <c r="B957" s="23"/>
      <c r="C957" s="37" t="s">
        <v>1163</v>
      </c>
      <c r="D957" s="37" t="s">
        <v>1142</v>
      </c>
      <c r="E957" s="37" t="s">
        <v>857</v>
      </c>
      <c r="F957" s="28"/>
      <c r="G957" s="26">
        <f>SUM(G958+G961)</f>
        <v>46558</v>
      </c>
      <c r="H957" s="26">
        <f>SUM(H958)</f>
        <v>58066.5</v>
      </c>
      <c r="I957" s="26">
        <f t="shared" si="30"/>
        <v>124.71863052536621</v>
      </c>
    </row>
    <row r="958" spans="1:9" ht="28.5" customHeight="1">
      <c r="A958" s="285" t="s">
        <v>1016</v>
      </c>
      <c r="B958" s="96"/>
      <c r="C958" s="37" t="s">
        <v>1163</v>
      </c>
      <c r="D958" s="37" t="s">
        <v>1142</v>
      </c>
      <c r="E958" s="37" t="s">
        <v>765</v>
      </c>
      <c r="F958" s="28"/>
      <c r="G958" s="26">
        <f>SUM(G959)</f>
        <v>46558</v>
      </c>
      <c r="H958" s="26">
        <f>SUM(H960+H988+H986)</f>
        <v>58066.5</v>
      </c>
      <c r="I958" s="26">
        <f t="shared" si="30"/>
        <v>124.71863052536621</v>
      </c>
    </row>
    <row r="959" spans="1:9" ht="43.5" customHeight="1">
      <c r="A959" s="285" t="s">
        <v>804</v>
      </c>
      <c r="B959" s="96"/>
      <c r="C959" s="37" t="s">
        <v>1163</v>
      </c>
      <c r="D959" s="37" t="s">
        <v>1142</v>
      </c>
      <c r="E959" s="37" t="s">
        <v>766</v>
      </c>
      <c r="F959" s="28"/>
      <c r="G959" s="26">
        <f>SUM(G960)</f>
        <v>46558</v>
      </c>
      <c r="H959" s="26"/>
      <c r="I959" s="26"/>
    </row>
    <row r="960" spans="1:9" ht="51.75" customHeight="1">
      <c r="A960" s="297" t="s">
        <v>1017</v>
      </c>
      <c r="B960" s="56"/>
      <c r="C960" s="37" t="s">
        <v>1163</v>
      </c>
      <c r="D960" s="37" t="s">
        <v>1142</v>
      </c>
      <c r="E960" s="37" t="s">
        <v>766</v>
      </c>
      <c r="F960" s="29" t="s">
        <v>496</v>
      </c>
      <c r="G960" s="26">
        <f>46249.2+308.8</f>
        <v>46558</v>
      </c>
      <c r="H960" s="26">
        <v>56722</v>
      </c>
      <c r="I960" s="26">
        <f t="shared" si="30"/>
        <v>121.83083465784613</v>
      </c>
    </row>
    <row r="961" spans="1:9" ht="15.75" customHeight="1" hidden="1">
      <c r="A961" s="297" t="s">
        <v>553</v>
      </c>
      <c r="B961" s="56"/>
      <c r="C961" s="37" t="s">
        <v>1163</v>
      </c>
      <c r="D961" s="37" t="s">
        <v>1142</v>
      </c>
      <c r="E961" s="57" t="s">
        <v>522</v>
      </c>
      <c r="F961" s="29"/>
      <c r="G961" s="26">
        <f>SUM(G962)</f>
        <v>0</v>
      </c>
      <c r="H961" s="26"/>
      <c r="I961" s="26"/>
    </row>
    <row r="962" spans="1:9" ht="27.75" customHeight="1" hidden="1">
      <c r="A962" s="297" t="s">
        <v>555</v>
      </c>
      <c r="B962" s="56"/>
      <c r="C962" s="37" t="s">
        <v>1163</v>
      </c>
      <c r="D962" s="37" t="s">
        <v>1142</v>
      </c>
      <c r="E962" s="57" t="s">
        <v>522</v>
      </c>
      <c r="F962" s="29" t="s">
        <v>556</v>
      </c>
      <c r="G962" s="26"/>
      <c r="H962" s="26"/>
      <c r="I962" s="26"/>
    </row>
    <row r="963" spans="1:9" ht="23.25" customHeight="1">
      <c r="A963" s="285" t="s">
        <v>1164</v>
      </c>
      <c r="B963" s="30"/>
      <c r="C963" s="24" t="s">
        <v>1163</v>
      </c>
      <c r="D963" s="24" t="s">
        <v>1163</v>
      </c>
      <c r="E963" s="24"/>
      <c r="F963" s="25"/>
      <c r="G963" s="26">
        <f>SUM(G968)</f>
        <v>1900</v>
      </c>
      <c r="H963" s="26" t="e">
        <f>SUM(H968+H985+H995+H964)</f>
        <v>#REF!</v>
      </c>
      <c r="I963" s="26" t="e">
        <f t="shared" si="30"/>
        <v>#REF!</v>
      </c>
    </row>
    <row r="964" spans="1:9" ht="15" hidden="1">
      <c r="A964" s="285" t="s">
        <v>660</v>
      </c>
      <c r="B964" s="23"/>
      <c r="C964" s="24" t="s">
        <v>1163</v>
      </c>
      <c r="D964" s="24" t="s">
        <v>1163</v>
      </c>
      <c r="E964" s="24" t="s">
        <v>662</v>
      </c>
      <c r="F964" s="25"/>
      <c r="G964" s="26">
        <f>SUM(G965)</f>
        <v>0</v>
      </c>
      <c r="H964" s="26">
        <f>SUM(H965)</f>
        <v>1563.8</v>
      </c>
      <c r="I964" s="26" t="e">
        <f t="shared" si="30"/>
        <v>#DIV/0!</v>
      </c>
    </row>
    <row r="965" spans="1:9" ht="15" hidden="1">
      <c r="A965" s="285" t="s">
        <v>638</v>
      </c>
      <c r="B965" s="23"/>
      <c r="C965" s="24" t="s">
        <v>1163</v>
      </c>
      <c r="D965" s="24" t="s">
        <v>1163</v>
      </c>
      <c r="E965" s="24" t="s">
        <v>639</v>
      </c>
      <c r="F965" s="25"/>
      <c r="G965" s="26">
        <f>SUM(G966+G967)</f>
        <v>0</v>
      </c>
      <c r="H965" s="26">
        <f>SUM(H966+H967)</f>
        <v>1563.8</v>
      </c>
      <c r="I965" s="26" t="e">
        <f t="shared" si="30"/>
        <v>#DIV/0!</v>
      </c>
    </row>
    <row r="966" spans="1:9" ht="15" hidden="1">
      <c r="A966" s="297" t="s">
        <v>141</v>
      </c>
      <c r="B966" s="36"/>
      <c r="C966" s="24" t="s">
        <v>1163</v>
      </c>
      <c r="D966" s="24" t="s">
        <v>1163</v>
      </c>
      <c r="E966" s="24" t="s">
        <v>639</v>
      </c>
      <c r="F966" s="28" t="s">
        <v>142</v>
      </c>
      <c r="G966" s="26"/>
      <c r="H966" s="26">
        <v>964</v>
      </c>
      <c r="I966" s="26" t="e">
        <f t="shared" si="30"/>
        <v>#DIV/0!</v>
      </c>
    </row>
    <row r="967" spans="1:9" ht="15" hidden="1">
      <c r="A967" s="297" t="s">
        <v>74</v>
      </c>
      <c r="B967" s="36"/>
      <c r="C967" s="24" t="s">
        <v>1163</v>
      </c>
      <c r="D967" s="24" t="s">
        <v>1163</v>
      </c>
      <c r="E967" s="24" t="s">
        <v>639</v>
      </c>
      <c r="F967" s="28" t="s">
        <v>75</v>
      </c>
      <c r="G967" s="26"/>
      <c r="H967" s="26">
        <v>599.8</v>
      </c>
      <c r="I967" s="26" t="e">
        <f t="shared" si="30"/>
        <v>#DIV/0!</v>
      </c>
    </row>
    <row r="968" spans="1:9" ht="15">
      <c r="A968" s="291" t="s">
        <v>76</v>
      </c>
      <c r="B968" s="36"/>
      <c r="C968" s="37" t="s">
        <v>1163</v>
      </c>
      <c r="D968" s="37" t="s">
        <v>1163</v>
      </c>
      <c r="E968" s="37" t="s">
        <v>77</v>
      </c>
      <c r="F968" s="28"/>
      <c r="G968" s="26">
        <f>SUM(G969+G973)</f>
        <v>1900</v>
      </c>
      <c r="H968" s="26" t="e">
        <f>SUM(H969+#REF!+#REF!)</f>
        <v>#REF!</v>
      </c>
      <c r="I968" s="26" t="e">
        <f t="shared" si="30"/>
        <v>#REF!</v>
      </c>
    </row>
    <row r="969" spans="1:9" ht="18" customHeight="1" hidden="1">
      <c r="A969" s="291" t="s">
        <v>78</v>
      </c>
      <c r="B969" s="37"/>
      <c r="C969" s="37" t="s">
        <v>1163</v>
      </c>
      <c r="D969" s="37" t="s">
        <v>1163</v>
      </c>
      <c r="E969" s="37" t="s">
        <v>79</v>
      </c>
      <c r="F969" s="28"/>
      <c r="G969" s="26">
        <f>SUM(G970,G971)</f>
        <v>0</v>
      </c>
      <c r="H969" s="26">
        <f>SUM(H970:H974)</f>
        <v>2394.5</v>
      </c>
      <c r="I969" s="26" t="e">
        <f t="shared" si="30"/>
        <v>#DIV/0!</v>
      </c>
    </row>
    <row r="970" spans="1:9" ht="15" customHeight="1" hidden="1">
      <c r="A970" s="297" t="s">
        <v>494</v>
      </c>
      <c r="B970" s="36"/>
      <c r="C970" s="37" t="s">
        <v>1163</v>
      </c>
      <c r="D970" s="37" t="s">
        <v>1163</v>
      </c>
      <c r="E970" s="37" t="s">
        <v>79</v>
      </c>
      <c r="F970" s="28" t="s">
        <v>142</v>
      </c>
      <c r="G970" s="26">
        <f>1393.8-1393.8</f>
        <v>0</v>
      </c>
      <c r="H970" s="26">
        <v>341.9</v>
      </c>
      <c r="I970" s="26" t="e">
        <f t="shared" si="30"/>
        <v>#DIV/0!</v>
      </c>
    </row>
    <row r="971" spans="1:9" ht="57.75" customHeight="1" hidden="1">
      <c r="A971" s="297" t="s">
        <v>81</v>
      </c>
      <c r="B971" s="36"/>
      <c r="C971" s="37" t="s">
        <v>1163</v>
      </c>
      <c r="D971" s="37" t="s">
        <v>1163</v>
      </c>
      <c r="E971" s="37" t="s">
        <v>82</v>
      </c>
      <c r="F971" s="28"/>
      <c r="G971" s="26">
        <f>SUM(G972)</f>
        <v>0</v>
      </c>
      <c r="H971" s="26"/>
      <c r="I971" s="26"/>
    </row>
    <row r="972" spans="1:9" ht="15.75" customHeight="1" hidden="1">
      <c r="A972" s="297" t="s">
        <v>141</v>
      </c>
      <c r="B972" s="36"/>
      <c r="C972" s="37" t="s">
        <v>1163</v>
      </c>
      <c r="D972" s="37" t="s">
        <v>1163</v>
      </c>
      <c r="E972" s="37" t="s">
        <v>82</v>
      </c>
      <c r="F972" s="28" t="s">
        <v>142</v>
      </c>
      <c r="G972" s="26"/>
      <c r="H972" s="26"/>
      <c r="I972" s="26"/>
    </row>
    <row r="973" spans="1:9" ht="30.75" customHeight="1">
      <c r="A973" s="285" t="s">
        <v>493</v>
      </c>
      <c r="B973" s="36"/>
      <c r="C973" s="37" t="s">
        <v>1163</v>
      </c>
      <c r="D973" s="37" t="s">
        <v>1163</v>
      </c>
      <c r="E973" s="37" t="s">
        <v>83</v>
      </c>
      <c r="F973" s="28"/>
      <c r="G973" s="26">
        <f>SUM(G974)</f>
        <v>1900</v>
      </c>
      <c r="H973" s="26">
        <f>SUM(H974)</f>
        <v>1026.3</v>
      </c>
      <c r="I973" s="26">
        <f t="shared" si="30"/>
        <v>54.01578947368421</v>
      </c>
    </row>
    <row r="974" spans="1:9" ht="18" customHeight="1">
      <c r="A974" s="297" t="s">
        <v>494</v>
      </c>
      <c r="B974" s="36"/>
      <c r="C974" s="37" t="s">
        <v>1163</v>
      </c>
      <c r="D974" s="37" t="s">
        <v>1163</v>
      </c>
      <c r="E974" s="37" t="s">
        <v>83</v>
      </c>
      <c r="F974" s="28" t="s">
        <v>142</v>
      </c>
      <c r="G974" s="26">
        <v>1900</v>
      </c>
      <c r="H974" s="26">
        <v>1026.3</v>
      </c>
      <c r="I974" s="26">
        <f t="shared" si="30"/>
        <v>54.01578947368421</v>
      </c>
    </row>
    <row r="975" spans="1:9" ht="15">
      <c r="A975" s="297" t="s">
        <v>98</v>
      </c>
      <c r="B975" s="36"/>
      <c r="C975" s="37" t="s">
        <v>1163</v>
      </c>
      <c r="D975" s="37" t="s">
        <v>971</v>
      </c>
      <c r="E975" s="37"/>
      <c r="F975" s="28"/>
      <c r="G975" s="26">
        <f>SUM(G976)</f>
        <v>1393.8</v>
      </c>
      <c r="H975" s="26"/>
      <c r="I975" s="26"/>
    </row>
    <row r="976" spans="1:9" ht="15">
      <c r="A976" s="297" t="s">
        <v>1186</v>
      </c>
      <c r="B976" s="101"/>
      <c r="C976" s="37" t="s">
        <v>1163</v>
      </c>
      <c r="D976" s="37" t="s">
        <v>971</v>
      </c>
      <c r="E976" s="37" t="s">
        <v>1187</v>
      </c>
      <c r="F976" s="29"/>
      <c r="G976" s="26">
        <f>SUM(G977,G978,G979,G980)+G982</f>
        <v>1393.8</v>
      </c>
      <c r="H976" s="26" t="e">
        <f>SUM(#REF!)</f>
        <v>#REF!</v>
      </c>
      <c r="I976" s="26" t="e">
        <f>SUM(H976/G976*100)</f>
        <v>#REF!</v>
      </c>
    </row>
    <row r="977" spans="1:9" ht="28.5" hidden="1">
      <c r="A977" s="297" t="s">
        <v>373</v>
      </c>
      <c r="B977" s="101"/>
      <c r="C977" s="37" t="s">
        <v>1163</v>
      </c>
      <c r="D977" s="37" t="s">
        <v>971</v>
      </c>
      <c r="E977" s="37" t="s">
        <v>608</v>
      </c>
      <c r="F977" s="29"/>
      <c r="G977" s="26"/>
      <c r="H977" s="26"/>
      <c r="I977" s="26"/>
    </row>
    <row r="978" spans="1:9" ht="10.5" customHeight="1" hidden="1">
      <c r="A978" s="297" t="s">
        <v>611</v>
      </c>
      <c r="B978" s="101"/>
      <c r="C978" s="37" t="s">
        <v>1163</v>
      </c>
      <c r="D978" s="37" t="s">
        <v>971</v>
      </c>
      <c r="E978" s="37" t="s">
        <v>612</v>
      </c>
      <c r="F978" s="29"/>
      <c r="G978" s="26"/>
      <c r="H978" s="26"/>
      <c r="I978" s="26"/>
    </row>
    <row r="979" spans="1:9" ht="16.5" customHeight="1" hidden="1">
      <c r="A979" s="297" t="s">
        <v>613</v>
      </c>
      <c r="B979" s="101"/>
      <c r="C979" s="37" t="s">
        <v>1163</v>
      </c>
      <c r="D979" s="37" t="s">
        <v>971</v>
      </c>
      <c r="E979" s="37" t="s">
        <v>614</v>
      </c>
      <c r="F979" s="29"/>
      <c r="G979" s="26"/>
      <c r="H979" s="26"/>
      <c r="I979" s="26"/>
    </row>
    <row r="980" spans="1:9" ht="28.5">
      <c r="A980" s="297" t="s">
        <v>810</v>
      </c>
      <c r="B980" s="101"/>
      <c r="C980" s="37" t="s">
        <v>1163</v>
      </c>
      <c r="D980" s="37" t="s">
        <v>971</v>
      </c>
      <c r="E980" s="37" t="s">
        <v>809</v>
      </c>
      <c r="F980" s="29"/>
      <c r="G980" s="26">
        <f>SUM(G981)</f>
        <v>1393.8</v>
      </c>
      <c r="H980" s="26"/>
      <c r="I980" s="26"/>
    </row>
    <row r="981" spans="1:9" ht="18" customHeight="1">
      <c r="A981" s="297" t="s">
        <v>74</v>
      </c>
      <c r="B981" s="101"/>
      <c r="C981" s="37" t="s">
        <v>1163</v>
      </c>
      <c r="D981" s="37" t="s">
        <v>971</v>
      </c>
      <c r="E981" s="37" t="s">
        <v>809</v>
      </c>
      <c r="F981" s="29" t="s">
        <v>75</v>
      </c>
      <c r="G981" s="26">
        <v>1393.8</v>
      </c>
      <c r="H981" s="26"/>
      <c r="I981" s="26"/>
    </row>
    <row r="982" spans="1:9" ht="42.75" hidden="1">
      <c r="A982" s="297" t="s">
        <v>669</v>
      </c>
      <c r="B982" s="101"/>
      <c r="C982" s="37" t="s">
        <v>1163</v>
      </c>
      <c r="D982" s="37" t="s">
        <v>971</v>
      </c>
      <c r="E982" s="37" t="s">
        <v>670</v>
      </c>
      <c r="F982" s="29"/>
      <c r="G982" s="26">
        <f>SUM(G983)</f>
        <v>0</v>
      </c>
      <c r="H982" s="26"/>
      <c r="I982" s="26"/>
    </row>
    <row r="983" spans="1:9" ht="33.75" customHeight="1" hidden="1">
      <c r="A983" s="297" t="s">
        <v>316</v>
      </c>
      <c r="B983" s="56"/>
      <c r="C983" s="37" t="s">
        <v>1163</v>
      </c>
      <c r="D983" s="37" t="s">
        <v>971</v>
      </c>
      <c r="E983" s="37" t="s">
        <v>670</v>
      </c>
      <c r="F983" s="29" t="s">
        <v>772</v>
      </c>
      <c r="G983" s="26"/>
      <c r="H983" s="26"/>
      <c r="I983" s="26"/>
    </row>
    <row r="984" spans="1:9" s="333" customFormat="1" ht="18.75" customHeight="1">
      <c r="A984" s="299" t="s">
        <v>134</v>
      </c>
      <c r="B984" s="32"/>
      <c r="C984" s="33" t="s">
        <v>36</v>
      </c>
      <c r="D984" s="33"/>
      <c r="E984" s="33"/>
      <c r="F984" s="103"/>
      <c r="G984" s="54">
        <f>SUM(G985+G994)</f>
        <v>6569.8</v>
      </c>
      <c r="H984" s="54" t="e">
        <f>SUM(H985+#REF!+H1014+H1019+H1029+H1045)</f>
        <v>#REF!</v>
      </c>
      <c r="I984" s="54" t="e">
        <f t="shared" si="30"/>
        <v>#REF!</v>
      </c>
    </row>
    <row r="985" spans="1:9" ht="17.25" customHeight="1">
      <c r="A985" s="285" t="s">
        <v>113</v>
      </c>
      <c r="B985" s="23"/>
      <c r="C985" s="24" t="s">
        <v>36</v>
      </c>
      <c r="D985" s="24" t="s">
        <v>1140</v>
      </c>
      <c r="E985" s="24"/>
      <c r="F985" s="25"/>
      <c r="G985" s="26">
        <f>SUM(G986,G988,G991)</f>
        <v>2970</v>
      </c>
      <c r="H985" s="26">
        <f>SUM(H988+H994+H986)</f>
        <v>1344.5</v>
      </c>
      <c r="I985" s="26">
        <f t="shared" si="30"/>
        <v>45.26936026936027</v>
      </c>
    </row>
    <row r="986" spans="1:9" ht="16.5" customHeight="1" hidden="1">
      <c r="A986" s="297" t="s">
        <v>638</v>
      </c>
      <c r="B986" s="23"/>
      <c r="C986" s="24" t="s">
        <v>971</v>
      </c>
      <c r="D986" s="24" t="s">
        <v>1176</v>
      </c>
      <c r="E986" s="37" t="s">
        <v>639</v>
      </c>
      <c r="F986" s="28"/>
      <c r="G986" s="26">
        <f>SUM(G987)</f>
        <v>0</v>
      </c>
      <c r="H986" s="26">
        <f>SUM(H987)</f>
        <v>79.5</v>
      </c>
      <c r="I986" s="26"/>
    </row>
    <row r="987" spans="1:9" ht="25.5" customHeight="1" hidden="1">
      <c r="A987" s="285" t="s">
        <v>1147</v>
      </c>
      <c r="B987" s="23"/>
      <c r="C987" s="24" t="s">
        <v>971</v>
      </c>
      <c r="D987" s="24" t="s">
        <v>1176</v>
      </c>
      <c r="E987" s="37" t="s">
        <v>639</v>
      </c>
      <c r="F987" s="28" t="s">
        <v>1148</v>
      </c>
      <c r="G987" s="26">
        <f>50.3-50.3</f>
        <v>0</v>
      </c>
      <c r="H987" s="26">
        <v>79.5</v>
      </c>
      <c r="I987" s="26"/>
    </row>
    <row r="988" spans="1:9" ht="15" hidden="1">
      <c r="A988" s="285" t="s">
        <v>104</v>
      </c>
      <c r="B988" s="23"/>
      <c r="C988" s="24" t="s">
        <v>36</v>
      </c>
      <c r="D988" s="24" t="s">
        <v>1140</v>
      </c>
      <c r="E988" s="46" t="s">
        <v>63</v>
      </c>
      <c r="F988" s="25"/>
      <c r="G988" s="26">
        <f>SUM(G989)</f>
        <v>0</v>
      </c>
      <c r="H988" s="26">
        <f>SUM(H989)</f>
        <v>1265</v>
      </c>
      <c r="I988" s="26" t="e">
        <f t="shared" si="30"/>
        <v>#DIV/0!</v>
      </c>
    </row>
    <row r="989" spans="1:9" ht="30" customHeight="1" hidden="1">
      <c r="A989" s="285" t="s">
        <v>574</v>
      </c>
      <c r="B989" s="23"/>
      <c r="C989" s="24" t="s">
        <v>36</v>
      </c>
      <c r="D989" s="24" t="s">
        <v>1140</v>
      </c>
      <c r="E989" s="46" t="s">
        <v>64</v>
      </c>
      <c r="F989" s="25"/>
      <c r="G989" s="26">
        <f>SUM(G990)</f>
        <v>0</v>
      </c>
      <c r="H989" s="26">
        <f>SUM(H990)</f>
        <v>1265</v>
      </c>
      <c r="I989" s="26" t="e">
        <f t="shared" si="30"/>
        <v>#DIV/0!</v>
      </c>
    </row>
    <row r="990" spans="1:9" ht="30" customHeight="1" hidden="1">
      <c r="A990" s="285" t="s">
        <v>1147</v>
      </c>
      <c r="B990" s="23"/>
      <c r="C990" s="24" t="s">
        <v>36</v>
      </c>
      <c r="D990" s="24" t="s">
        <v>1140</v>
      </c>
      <c r="E990" s="46" t="s">
        <v>64</v>
      </c>
      <c r="F990" s="25" t="s">
        <v>1148</v>
      </c>
      <c r="G990" s="26">
        <f>3278.8-3278.8</f>
        <v>0</v>
      </c>
      <c r="H990" s="26">
        <v>1265</v>
      </c>
      <c r="I990" s="26" t="e">
        <f t="shared" si="30"/>
        <v>#DIV/0!</v>
      </c>
    </row>
    <row r="991" spans="1:9" ht="23.25" customHeight="1">
      <c r="A991" s="297" t="s">
        <v>1186</v>
      </c>
      <c r="B991" s="23"/>
      <c r="C991" s="24" t="s">
        <v>36</v>
      </c>
      <c r="D991" s="24" t="s">
        <v>1140</v>
      </c>
      <c r="E991" s="46" t="s">
        <v>1187</v>
      </c>
      <c r="F991" s="25"/>
      <c r="G991" s="26">
        <f>SUM(G992)</f>
        <v>2970</v>
      </c>
      <c r="H991" s="26"/>
      <c r="I991" s="26"/>
    </row>
    <row r="992" spans="1:9" ht="28.5">
      <c r="A992" s="285" t="s">
        <v>813</v>
      </c>
      <c r="B992" s="23"/>
      <c r="C992" s="24" t="s">
        <v>36</v>
      </c>
      <c r="D992" s="24" t="s">
        <v>1140</v>
      </c>
      <c r="E992" s="46" t="s">
        <v>811</v>
      </c>
      <c r="F992" s="25"/>
      <c r="G992" s="26">
        <f>SUM(G993)</f>
        <v>2970</v>
      </c>
      <c r="H992" s="26"/>
      <c r="I992" s="26"/>
    </row>
    <row r="993" spans="1:9" ht="40.5" customHeight="1">
      <c r="A993" s="285" t="s">
        <v>302</v>
      </c>
      <c r="B993" s="23"/>
      <c r="C993" s="24" t="s">
        <v>36</v>
      </c>
      <c r="D993" s="24" t="s">
        <v>1140</v>
      </c>
      <c r="E993" s="46" t="s">
        <v>811</v>
      </c>
      <c r="F993" s="25" t="s">
        <v>924</v>
      </c>
      <c r="G993" s="26">
        <v>2970</v>
      </c>
      <c r="H993" s="26"/>
      <c r="I993" s="26"/>
    </row>
    <row r="994" spans="1:9" ht="15">
      <c r="A994" s="285" t="s">
        <v>114</v>
      </c>
      <c r="B994" s="23"/>
      <c r="C994" s="24" t="s">
        <v>36</v>
      </c>
      <c r="D994" s="24" t="s">
        <v>1190</v>
      </c>
      <c r="E994" s="37"/>
      <c r="F994" s="28"/>
      <c r="G994" s="26">
        <f>SUM(G995+G998+G1000)</f>
        <v>3599.8</v>
      </c>
      <c r="H994" s="26"/>
      <c r="I994" s="26"/>
    </row>
    <row r="995" spans="1:9" ht="45" customHeight="1">
      <c r="A995" s="285" t="s">
        <v>1143</v>
      </c>
      <c r="B995" s="23"/>
      <c r="C995" s="24" t="s">
        <v>36</v>
      </c>
      <c r="D995" s="24" t="s">
        <v>1190</v>
      </c>
      <c r="E995" s="24" t="s">
        <v>1144</v>
      </c>
      <c r="F995" s="28"/>
      <c r="G995" s="26">
        <f>SUM(G996)</f>
        <v>3599.8</v>
      </c>
      <c r="H995" s="161"/>
      <c r="I995" s="26"/>
    </row>
    <row r="996" spans="1:9" ht="20.25" customHeight="1">
      <c r="A996" s="285" t="s">
        <v>1151</v>
      </c>
      <c r="B996" s="23"/>
      <c r="C996" s="24" t="s">
        <v>36</v>
      </c>
      <c r="D996" s="24" t="s">
        <v>1190</v>
      </c>
      <c r="E996" s="24" t="s">
        <v>1153</v>
      </c>
      <c r="F996" s="28"/>
      <c r="G996" s="26">
        <f>SUM(G997)</f>
        <v>3599.8</v>
      </c>
      <c r="H996" s="161"/>
      <c r="I996" s="26"/>
    </row>
    <row r="997" spans="1:9" ht="30.75" customHeight="1">
      <c r="A997" s="285" t="s">
        <v>1147</v>
      </c>
      <c r="B997" s="23"/>
      <c r="C997" s="24" t="s">
        <v>36</v>
      </c>
      <c r="D997" s="24" t="s">
        <v>1190</v>
      </c>
      <c r="E997" s="24" t="s">
        <v>1153</v>
      </c>
      <c r="F997" s="25" t="s">
        <v>1148</v>
      </c>
      <c r="G997" s="26">
        <v>3599.8</v>
      </c>
      <c r="H997" s="161"/>
      <c r="I997" s="26"/>
    </row>
    <row r="998" spans="1:9" ht="15" hidden="1">
      <c r="A998" s="297" t="s">
        <v>638</v>
      </c>
      <c r="B998" s="23"/>
      <c r="C998" s="24" t="s">
        <v>36</v>
      </c>
      <c r="D998" s="24" t="s">
        <v>1190</v>
      </c>
      <c r="E998" s="37" t="s">
        <v>639</v>
      </c>
      <c r="F998" s="28"/>
      <c r="G998" s="26">
        <f>SUM(G999)</f>
        <v>0</v>
      </c>
      <c r="H998" s="26">
        <f>SUM(H999)</f>
        <v>79.5</v>
      </c>
      <c r="I998" s="26"/>
    </row>
    <row r="999" spans="1:9" ht="15" hidden="1">
      <c r="A999" s="285" t="s">
        <v>1147</v>
      </c>
      <c r="B999" s="23"/>
      <c r="C999" s="24" t="s">
        <v>36</v>
      </c>
      <c r="D999" s="24" t="s">
        <v>1190</v>
      </c>
      <c r="E999" s="37" t="s">
        <v>639</v>
      </c>
      <c r="F999" s="28" t="s">
        <v>1148</v>
      </c>
      <c r="G999" s="26"/>
      <c r="H999" s="26">
        <v>79.5</v>
      </c>
      <c r="I999" s="26"/>
    </row>
    <row r="1000" spans="1:9" ht="28.5" hidden="1">
      <c r="A1000" s="287" t="s">
        <v>1158</v>
      </c>
      <c r="B1000" s="23"/>
      <c r="C1000" s="24" t="s">
        <v>36</v>
      </c>
      <c r="D1000" s="24" t="s">
        <v>1190</v>
      </c>
      <c r="E1000" s="24" t="s">
        <v>1159</v>
      </c>
      <c r="F1000" s="29"/>
      <c r="G1000" s="26">
        <f>SUM(G1002)</f>
        <v>0</v>
      </c>
      <c r="H1000" s="26">
        <f>SUM(H1002)</f>
        <v>186.6</v>
      </c>
      <c r="I1000" s="26" t="e">
        <f>SUM(H1000/G1000*100)</f>
        <v>#DIV/0!</v>
      </c>
    </row>
    <row r="1001" spans="1:9" ht="15" hidden="1">
      <c r="A1001" s="287" t="s">
        <v>1160</v>
      </c>
      <c r="B1001" s="23"/>
      <c r="C1001" s="24" t="s">
        <v>36</v>
      </c>
      <c r="D1001" s="24" t="s">
        <v>1190</v>
      </c>
      <c r="E1001" s="24" t="s">
        <v>145</v>
      </c>
      <c r="F1001" s="29"/>
      <c r="G1001" s="26">
        <f>SUM(G1002)</f>
        <v>0</v>
      </c>
      <c r="H1001" s="26">
        <f>SUM(H1002)</f>
        <v>186.6</v>
      </c>
      <c r="I1001" s="26" t="e">
        <f>SUM(H1001/G1001*100)</f>
        <v>#DIV/0!</v>
      </c>
    </row>
    <row r="1002" spans="1:9" ht="27" customHeight="1" hidden="1">
      <c r="A1002" s="285" t="s">
        <v>1147</v>
      </c>
      <c r="B1002" s="23"/>
      <c r="C1002" s="24" t="s">
        <v>36</v>
      </c>
      <c r="D1002" s="24" t="s">
        <v>1190</v>
      </c>
      <c r="E1002" s="24" t="s">
        <v>145</v>
      </c>
      <c r="F1002" s="29" t="s">
        <v>1148</v>
      </c>
      <c r="G1002" s="26"/>
      <c r="H1002" s="26">
        <v>186.6</v>
      </c>
      <c r="I1002" s="26" t="e">
        <f>SUM(H1002/G1002*100)</f>
        <v>#DIV/0!</v>
      </c>
    </row>
    <row r="1003" spans="1:9" ht="30" customHeight="1" hidden="1">
      <c r="A1003" s="298" t="s">
        <v>869</v>
      </c>
      <c r="B1003" s="96" t="s">
        <v>870</v>
      </c>
      <c r="C1003" s="46"/>
      <c r="D1003" s="94"/>
      <c r="E1003" s="94"/>
      <c r="F1003" s="95"/>
      <c r="G1003" s="161">
        <f>SUM(G1004)</f>
        <v>0</v>
      </c>
      <c r="H1003" s="161">
        <f>SUM(H1004)</f>
        <v>36922.5</v>
      </c>
      <c r="I1003" s="45" t="e">
        <f aca="true" t="shared" si="31" ref="I1003:I1066">SUM(H1003/G1003*100)</f>
        <v>#DIV/0!</v>
      </c>
    </row>
    <row r="1004" spans="1:9" ht="28.5" customHeight="1" hidden="1">
      <c r="A1004" s="285" t="s">
        <v>206</v>
      </c>
      <c r="B1004" s="23"/>
      <c r="C1004" s="24" t="s">
        <v>1150</v>
      </c>
      <c r="D1004" s="24"/>
      <c r="E1004" s="24"/>
      <c r="F1004" s="25"/>
      <c r="G1004" s="26">
        <f>SUM(G1005)</f>
        <v>0</v>
      </c>
      <c r="H1004" s="26">
        <f>SUM(H1005)</f>
        <v>36922.5</v>
      </c>
      <c r="I1004" s="26" t="e">
        <f t="shared" si="31"/>
        <v>#DIV/0!</v>
      </c>
    </row>
    <row r="1005" spans="1:9" ht="21" customHeight="1" hidden="1">
      <c r="A1005" s="285" t="s">
        <v>207</v>
      </c>
      <c r="B1005" s="23"/>
      <c r="C1005" s="24" t="s">
        <v>1150</v>
      </c>
      <c r="D1005" s="24" t="s">
        <v>1142</v>
      </c>
      <c r="E1005" s="24"/>
      <c r="F1005" s="25"/>
      <c r="G1005" s="26">
        <f>SUM(G1006+G1023)</f>
        <v>0</v>
      </c>
      <c r="H1005" s="26">
        <f>SUM(H1006+H1023)</f>
        <v>36922.5</v>
      </c>
      <c r="I1005" s="26" t="e">
        <f t="shared" si="31"/>
        <v>#DIV/0!</v>
      </c>
    </row>
    <row r="1006" spans="1:9" ht="18" customHeight="1" hidden="1">
      <c r="A1006" s="287" t="s">
        <v>208</v>
      </c>
      <c r="B1006" s="23"/>
      <c r="C1006" s="24" t="s">
        <v>1150</v>
      </c>
      <c r="D1006" s="24" t="s">
        <v>1142</v>
      </c>
      <c r="E1006" s="46" t="s">
        <v>155</v>
      </c>
      <c r="F1006" s="25"/>
      <c r="G1006" s="26">
        <f>SUM(G1007+G1009+G1011+G1013+G1016+G1021)</f>
        <v>0</v>
      </c>
      <c r="H1006" s="26">
        <f>SUM(H1007+H1009+H1011+H1013+H1016+H1021)</f>
        <v>36646.8</v>
      </c>
      <c r="I1006" s="26" t="e">
        <f t="shared" si="31"/>
        <v>#DIV/0!</v>
      </c>
    </row>
    <row r="1007" spans="1:9" ht="70.5" customHeight="1" hidden="1">
      <c r="A1007" s="287" t="s">
        <v>156</v>
      </c>
      <c r="B1007" s="23"/>
      <c r="C1007" s="24" t="s">
        <v>1150</v>
      </c>
      <c r="D1007" s="24" t="s">
        <v>1142</v>
      </c>
      <c r="E1007" s="46" t="s">
        <v>157</v>
      </c>
      <c r="F1007" s="25"/>
      <c r="G1007" s="26">
        <f>SUM(G1008)</f>
        <v>0</v>
      </c>
      <c r="H1007" s="26">
        <f>SUM(H1008)</f>
        <v>2461.2</v>
      </c>
      <c r="I1007" s="26" t="e">
        <f t="shared" si="31"/>
        <v>#DIV/0!</v>
      </c>
    </row>
    <row r="1008" spans="1:9" ht="28.5" hidden="1">
      <c r="A1008" s="287" t="s">
        <v>158</v>
      </c>
      <c r="B1008" s="23"/>
      <c r="C1008" s="24" t="s">
        <v>1150</v>
      </c>
      <c r="D1008" s="24" t="s">
        <v>1142</v>
      </c>
      <c r="E1008" s="46" t="s">
        <v>157</v>
      </c>
      <c r="F1008" s="25" t="s">
        <v>159</v>
      </c>
      <c r="G1008" s="26"/>
      <c r="H1008" s="26">
        <v>2461.2</v>
      </c>
      <c r="I1008" s="26" t="e">
        <f t="shared" si="31"/>
        <v>#DIV/0!</v>
      </c>
    </row>
    <row r="1009" spans="1:9" ht="21" customHeight="1" hidden="1">
      <c r="A1009" s="287" t="s">
        <v>160</v>
      </c>
      <c r="B1009" s="23"/>
      <c r="C1009" s="24" t="s">
        <v>1150</v>
      </c>
      <c r="D1009" s="24" t="s">
        <v>1142</v>
      </c>
      <c r="E1009" s="46" t="s">
        <v>161</v>
      </c>
      <c r="F1009" s="25"/>
      <c r="G1009" s="26">
        <f>SUM(G1010)</f>
        <v>0</v>
      </c>
      <c r="H1009" s="26">
        <f>SUM(H1010)</f>
        <v>25107.2</v>
      </c>
      <c r="I1009" s="26" t="e">
        <f t="shared" si="31"/>
        <v>#DIV/0!</v>
      </c>
    </row>
    <row r="1010" spans="1:9" ht="43.5" customHeight="1" hidden="1">
      <c r="A1010" s="287" t="s">
        <v>158</v>
      </c>
      <c r="B1010" s="23"/>
      <c r="C1010" s="24" t="s">
        <v>1150</v>
      </c>
      <c r="D1010" s="24" t="s">
        <v>1142</v>
      </c>
      <c r="E1010" s="46" t="s">
        <v>161</v>
      </c>
      <c r="F1010" s="25" t="s">
        <v>159</v>
      </c>
      <c r="G1010" s="26"/>
      <c r="H1010" s="26">
        <v>25107.2</v>
      </c>
      <c r="I1010" s="26" t="e">
        <f t="shared" si="31"/>
        <v>#DIV/0!</v>
      </c>
    </row>
    <row r="1011" spans="1:9" ht="30.75" customHeight="1" hidden="1">
      <c r="A1011" s="287" t="s">
        <v>162</v>
      </c>
      <c r="B1011" s="23"/>
      <c r="C1011" s="24" t="s">
        <v>1150</v>
      </c>
      <c r="D1011" s="24" t="s">
        <v>1142</v>
      </c>
      <c r="E1011" s="46" t="s">
        <v>163</v>
      </c>
      <c r="F1011" s="25"/>
      <c r="G1011" s="26">
        <f>SUM(G1012)</f>
        <v>0</v>
      </c>
      <c r="H1011" s="26">
        <f>SUM(H1012)</f>
        <v>7951.2</v>
      </c>
      <c r="I1011" s="26" t="e">
        <f t="shared" si="31"/>
        <v>#DIV/0!</v>
      </c>
    </row>
    <row r="1012" spans="1:9" ht="43.5" customHeight="1" hidden="1">
      <c r="A1012" s="287" t="s">
        <v>158</v>
      </c>
      <c r="B1012" s="23"/>
      <c r="C1012" s="24" t="s">
        <v>1150</v>
      </c>
      <c r="D1012" s="24" t="s">
        <v>1142</v>
      </c>
      <c r="E1012" s="46" t="s">
        <v>163</v>
      </c>
      <c r="F1012" s="25" t="s">
        <v>159</v>
      </c>
      <c r="G1012" s="26"/>
      <c r="H1012" s="26">
        <v>7951.2</v>
      </c>
      <c r="I1012" s="26" t="e">
        <f t="shared" si="31"/>
        <v>#DIV/0!</v>
      </c>
    </row>
    <row r="1013" spans="1:9" s="104" customFormat="1" ht="15" hidden="1">
      <c r="A1013" s="287" t="s">
        <v>164</v>
      </c>
      <c r="B1013" s="23"/>
      <c r="C1013" s="24" t="s">
        <v>1150</v>
      </c>
      <c r="D1013" s="24" t="s">
        <v>1142</v>
      </c>
      <c r="E1013" s="46" t="s">
        <v>165</v>
      </c>
      <c r="F1013" s="25"/>
      <c r="G1013" s="26">
        <f>SUM(G1014)</f>
        <v>0</v>
      </c>
      <c r="H1013" s="26">
        <f>SUM(H1014)</f>
        <v>73.1</v>
      </c>
      <c r="I1013" s="26" t="e">
        <f t="shared" si="31"/>
        <v>#DIV/0!</v>
      </c>
    </row>
    <row r="1014" spans="1:9" s="104" customFormat="1" ht="36.75" customHeight="1" hidden="1">
      <c r="A1014" s="287" t="s">
        <v>949</v>
      </c>
      <c r="B1014" s="23"/>
      <c r="C1014" s="24" t="s">
        <v>1150</v>
      </c>
      <c r="D1014" s="24" t="s">
        <v>1142</v>
      </c>
      <c r="E1014" s="46" t="s">
        <v>950</v>
      </c>
      <c r="F1014" s="25"/>
      <c r="G1014" s="26">
        <f>SUM(G1015)</f>
        <v>0</v>
      </c>
      <c r="H1014" s="26">
        <f>SUM(H1015)</f>
        <v>73.1</v>
      </c>
      <c r="I1014" s="26" t="e">
        <f t="shared" si="31"/>
        <v>#DIV/0!</v>
      </c>
    </row>
    <row r="1015" spans="1:9" s="104" customFormat="1" ht="28.5" hidden="1">
      <c r="A1015" s="287" t="s">
        <v>158</v>
      </c>
      <c r="B1015" s="23"/>
      <c r="C1015" s="24" t="s">
        <v>1150</v>
      </c>
      <c r="D1015" s="24" t="s">
        <v>1142</v>
      </c>
      <c r="E1015" s="46" t="s">
        <v>950</v>
      </c>
      <c r="F1015" s="25" t="s">
        <v>159</v>
      </c>
      <c r="G1015" s="26"/>
      <c r="H1015" s="26">
        <v>73.1</v>
      </c>
      <c r="I1015" s="26" t="e">
        <f t="shared" si="31"/>
        <v>#DIV/0!</v>
      </c>
    </row>
    <row r="1016" spans="1:9" s="104" customFormat="1" ht="17.25" customHeight="1" hidden="1">
      <c r="A1016" s="285" t="s">
        <v>951</v>
      </c>
      <c r="B1016" s="23"/>
      <c r="C1016" s="24" t="s">
        <v>952</v>
      </c>
      <c r="D1016" s="24" t="s">
        <v>1142</v>
      </c>
      <c r="E1016" s="46" t="s">
        <v>953</v>
      </c>
      <c r="F1016" s="25"/>
      <c r="G1016" s="26">
        <f>SUM(G1017+G1019)</f>
        <v>0</v>
      </c>
      <c r="H1016" s="26">
        <f>SUM(H1017+H1019)</f>
        <v>66.8</v>
      </c>
      <c r="I1016" s="26" t="e">
        <f t="shared" si="31"/>
        <v>#DIV/0!</v>
      </c>
    </row>
    <row r="1017" spans="1:9" ht="14.25" customHeight="1" hidden="1">
      <c r="A1017" s="287" t="s">
        <v>954</v>
      </c>
      <c r="B1017" s="23"/>
      <c r="C1017" s="24" t="s">
        <v>952</v>
      </c>
      <c r="D1017" s="24" t="s">
        <v>1142</v>
      </c>
      <c r="E1017" s="46" t="s">
        <v>955</v>
      </c>
      <c r="F1017" s="25"/>
      <c r="G1017" s="26">
        <f>SUM(G1018)</f>
        <v>0</v>
      </c>
      <c r="H1017" s="26">
        <f>SUM(H1018)</f>
        <v>0</v>
      </c>
      <c r="I1017" s="26" t="e">
        <f t="shared" si="31"/>
        <v>#DIV/0!</v>
      </c>
    </row>
    <row r="1018" spans="1:9" ht="41.25" customHeight="1" hidden="1">
      <c r="A1018" s="287" t="s">
        <v>158</v>
      </c>
      <c r="B1018" s="23"/>
      <c r="C1018" s="24" t="s">
        <v>952</v>
      </c>
      <c r="D1018" s="24" t="s">
        <v>1142</v>
      </c>
      <c r="E1018" s="46" t="s">
        <v>955</v>
      </c>
      <c r="F1018" s="25" t="s">
        <v>159</v>
      </c>
      <c r="G1018" s="26"/>
      <c r="H1018" s="26"/>
      <c r="I1018" s="26" t="e">
        <f t="shared" si="31"/>
        <v>#DIV/0!</v>
      </c>
    </row>
    <row r="1019" spans="1:9" ht="15.75" customHeight="1" hidden="1">
      <c r="A1019" s="287" t="s">
        <v>956</v>
      </c>
      <c r="B1019" s="23"/>
      <c r="C1019" s="24" t="s">
        <v>952</v>
      </c>
      <c r="D1019" s="24" t="s">
        <v>1142</v>
      </c>
      <c r="E1019" s="46" t="s">
        <v>957</v>
      </c>
      <c r="F1019" s="25"/>
      <c r="G1019" s="26">
        <f>SUM(G1020)</f>
        <v>0</v>
      </c>
      <c r="H1019" s="26">
        <f>SUM(H1020)</f>
        <v>66.8</v>
      </c>
      <c r="I1019" s="26" t="e">
        <f t="shared" si="31"/>
        <v>#DIV/0!</v>
      </c>
    </row>
    <row r="1020" spans="1:9" ht="48" customHeight="1" hidden="1">
      <c r="A1020" s="287" t="s">
        <v>158</v>
      </c>
      <c r="B1020" s="23"/>
      <c r="C1020" s="24" t="s">
        <v>952</v>
      </c>
      <c r="D1020" s="24" t="s">
        <v>1142</v>
      </c>
      <c r="E1020" s="46" t="s">
        <v>957</v>
      </c>
      <c r="F1020" s="25" t="s">
        <v>159</v>
      </c>
      <c r="G1020" s="26"/>
      <c r="H1020" s="26">
        <v>66.8</v>
      </c>
      <c r="I1020" s="26" t="e">
        <f t="shared" si="31"/>
        <v>#DIV/0!</v>
      </c>
    </row>
    <row r="1021" spans="1:9" ht="47.25" customHeight="1" hidden="1">
      <c r="A1021" s="285" t="s">
        <v>958</v>
      </c>
      <c r="B1021" s="23"/>
      <c r="C1021" s="24" t="s">
        <v>952</v>
      </c>
      <c r="D1021" s="24" t="s">
        <v>1142</v>
      </c>
      <c r="E1021" s="46" t="s">
        <v>959</v>
      </c>
      <c r="F1021" s="25"/>
      <c r="G1021" s="26">
        <f>SUM(G1022)</f>
        <v>0</v>
      </c>
      <c r="H1021" s="26">
        <f>SUM(H1022)</f>
        <v>987.3</v>
      </c>
      <c r="I1021" s="26" t="e">
        <f t="shared" si="31"/>
        <v>#DIV/0!</v>
      </c>
    </row>
    <row r="1022" spans="1:9" ht="21" customHeight="1" hidden="1">
      <c r="A1022" s="287" t="s">
        <v>960</v>
      </c>
      <c r="B1022" s="23"/>
      <c r="C1022" s="24" t="s">
        <v>952</v>
      </c>
      <c r="D1022" s="24" t="s">
        <v>1142</v>
      </c>
      <c r="E1022" s="46" t="s">
        <v>959</v>
      </c>
      <c r="F1022" s="25" t="s">
        <v>961</v>
      </c>
      <c r="G1022" s="26"/>
      <c r="H1022" s="26">
        <v>987.3</v>
      </c>
      <c r="I1022" s="26" t="e">
        <f t="shared" si="31"/>
        <v>#DIV/0!</v>
      </c>
    </row>
    <row r="1023" spans="1:9" ht="21" customHeight="1" hidden="1">
      <c r="A1023" s="296" t="s">
        <v>1186</v>
      </c>
      <c r="B1023" s="47"/>
      <c r="C1023" s="47" t="s">
        <v>1150</v>
      </c>
      <c r="D1023" s="47" t="s">
        <v>1142</v>
      </c>
      <c r="E1023" s="48" t="s">
        <v>1187</v>
      </c>
      <c r="F1023" s="49"/>
      <c r="G1023" s="26">
        <f>SUM(G1024)</f>
        <v>0</v>
      </c>
      <c r="H1023" s="26">
        <f>SUM(H1024)</f>
        <v>275.7</v>
      </c>
      <c r="I1023" s="26" t="e">
        <f t="shared" si="31"/>
        <v>#DIV/0!</v>
      </c>
    </row>
    <row r="1024" spans="1:9" ht="43.5" customHeight="1" hidden="1">
      <c r="A1024" s="287" t="s">
        <v>158</v>
      </c>
      <c r="B1024" s="50"/>
      <c r="C1024" s="51" t="s">
        <v>1150</v>
      </c>
      <c r="D1024" s="51" t="s">
        <v>1142</v>
      </c>
      <c r="E1024" s="51" t="s">
        <v>962</v>
      </c>
      <c r="F1024" s="52" t="s">
        <v>159</v>
      </c>
      <c r="G1024" s="26">
        <f>SUM(G1025)</f>
        <v>0</v>
      </c>
      <c r="H1024" s="26">
        <f>SUM(H1025)</f>
        <v>275.7</v>
      </c>
      <c r="I1024" s="26" t="e">
        <f t="shared" si="31"/>
        <v>#DIV/0!</v>
      </c>
    </row>
    <row r="1025" spans="1:9" ht="48" customHeight="1" hidden="1">
      <c r="A1025" s="299" t="s">
        <v>1109</v>
      </c>
      <c r="B1025" s="53"/>
      <c r="C1025" s="51" t="s">
        <v>1150</v>
      </c>
      <c r="D1025" s="51" t="s">
        <v>1142</v>
      </c>
      <c r="E1025" s="51" t="s">
        <v>963</v>
      </c>
      <c r="F1025" s="52" t="s">
        <v>159</v>
      </c>
      <c r="G1025" s="54"/>
      <c r="H1025" s="54">
        <v>275.7</v>
      </c>
      <c r="I1025" s="26" t="e">
        <f t="shared" si="31"/>
        <v>#DIV/0!</v>
      </c>
    </row>
    <row r="1026" spans="1:9" ht="21" customHeight="1">
      <c r="A1026" s="298" t="s">
        <v>823</v>
      </c>
      <c r="B1026" s="96" t="s">
        <v>871</v>
      </c>
      <c r="C1026" s="170"/>
      <c r="D1026" s="170"/>
      <c r="E1026" s="170"/>
      <c r="F1026" s="171"/>
      <c r="G1026" s="161">
        <f>SUM(G1031+G1200)</f>
        <v>1095881.0999999999</v>
      </c>
      <c r="H1026" s="161" t="e">
        <f>SUM(H1031+H1200)</f>
        <v>#REF!</v>
      </c>
      <c r="I1026" s="45" t="e">
        <f t="shared" si="31"/>
        <v>#REF!</v>
      </c>
    </row>
    <row r="1027" spans="1:9" ht="0.75" customHeight="1" hidden="1">
      <c r="A1027" s="285" t="s">
        <v>1173</v>
      </c>
      <c r="B1027" s="23"/>
      <c r="C1027" s="24" t="s">
        <v>1174</v>
      </c>
      <c r="D1027" s="24"/>
      <c r="E1027" s="24"/>
      <c r="F1027" s="25"/>
      <c r="G1027" s="26">
        <f aca="true" t="shared" si="32" ref="G1027:H1029">SUM(G1028)</f>
        <v>0</v>
      </c>
      <c r="H1027" s="26">
        <f t="shared" si="32"/>
        <v>0</v>
      </c>
      <c r="I1027" s="26" t="e">
        <f t="shared" si="31"/>
        <v>#DIV/0!</v>
      </c>
    </row>
    <row r="1028" spans="1:9" ht="18" customHeight="1" hidden="1">
      <c r="A1028" s="285" t="s">
        <v>543</v>
      </c>
      <c r="B1028" s="23"/>
      <c r="C1028" s="24" t="s">
        <v>1174</v>
      </c>
      <c r="D1028" s="37" t="s">
        <v>1140</v>
      </c>
      <c r="E1028" s="94"/>
      <c r="F1028" s="95"/>
      <c r="G1028" s="26">
        <f t="shared" si="32"/>
        <v>0</v>
      </c>
      <c r="H1028" s="26">
        <f t="shared" si="32"/>
        <v>0</v>
      </c>
      <c r="I1028" s="26" t="e">
        <f t="shared" si="31"/>
        <v>#DIV/0!</v>
      </c>
    </row>
    <row r="1029" spans="1:9" ht="17.25" customHeight="1" hidden="1">
      <c r="A1029" s="285" t="s">
        <v>544</v>
      </c>
      <c r="B1029" s="23"/>
      <c r="C1029" s="24" t="s">
        <v>1174</v>
      </c>
      <c r="D1029" s="37" t="s">
        <v>1140</v>
      </c>
      <c r="E1029" s="46" t="s">
        <v>545</v>
      </c>
      <c r="F1029" s="95"/>
      <c r="G1029" s="26">
        <f t="shared" si="32"/>
        <v>0</v>
      </c>
      <c r="H1029" s="26">
        <f t="shared" si="32"/>
        <v>0</v>
      </c>
      <c r="I1029" s="26" t="e">
        <f t="shared" si="31"/>
        <v>#DIV/0!</v>
      </c>
    </row>
    <row r="1030" spans="1:9" ht="15" hidden="1">
      <c r="A1030" s="285" t="s">
        <v>546</v>
      </c>
      <c r="B1030" s="23"/>
      <c r="C1030" s="24" t="s">
        <v>1174</v>
      </c>
      <c r="D1030" s="37" t="s">
        <v>1140</v>
      </c>
      <c r="E1030" s="46" t="s">
        <v>545</v>
      </c>
      <c r="F1030" s="95">
        <v>273</v>
      </c>
      <c r="G1030" s="26"/>
      <c r="H1030" s="26"/>
      <c r="I1030" s="26" t="e">
        <f t="shared" si="31"/>
        <v>#DIV/0!</v>
      </c>
    </row>
    <row r="1031" spans="1:9" ht="18.75" customHeight="1">
      <c r="A1031" s="285" t="s">
        <v>1162</v>
      </c>
      <c r="B1031" s="23"/>
      <c r="C1031" s="37" t="s">
        <v>1163</v>
      </c>
      <c r="D1031" s="37"/>
      <c r="E1031" s="37"/>
      <c r="F1031" s="28"/>
      <c r="G1031" s="26">
        <f>SUM(G1032+G1066+G1136+G1158)</f>
        <v>1077506.5999999999</v>
      </c>
      <c r="H1031" s="26" t="e">
        <f>SUM(H1032+H1066+H1136+H1158)</f>
        <v>#REF!</v>
      </c>
      <c r="I1031" s="26" t="e">
        <f t="shared" si="31"/>
        <v>#REF!</v>
      </c>
    </row>
    <row r="1032" spans="1:9" ht="20.25" customHeight="1">
      <c r="A1032" s="285" t="s">
        <v>547</v>
      </c>
      <c r="B1032" s="96"/>
      <c r="C1032" s="37" t="s">
        <v>1163</v>
      </c>
      <c r="D1032" s="37" t="s">
        <v>1140</v>
      </c>
      <c r="E1032" s="37"/>
      <c r="F1032" s="28"/>
      <c r="G1032" s="26">
        <f>SUM(G1033+G1061)+G1057</f>
        <v>438703.89999999997</v>
      </c>
      <c r="H1032" s="26">
        <f>SUM(H1037+H1057)</f>
        <v>9549.8</v>
      </c>
      <c r="I1032" s="26">
        <f t="shared" si="31"/>
        <v>2.1768213138748025</v>
      </c>
    </row>
    <row r="1033" spans="1:9" ht="21" customHeight="1">
      <c r="A1033" s="285" t="s">
        <v>548</v>
      </c>
      <c r="B1033" s="96"/>
      <c r="C1033" s="37" t="s">
        <v>1163</v>
      </c>
      <c r="D1033" s="37" t="s">
        <v>1140</v>
      </c>
      <c r="E1033" s="37" t="s">
        <v>549</v>
      </c>
      <c r="F1033" s="28"/>
      <c r="G1033" s="26">
        <f>SUM(G1034+G1039)</f>
        <v>431052.3</v>
      </c>
      <c r="H1033" s="26">
        <f>SUM(H1034)</f>
        <v>56722</v>
      </c>
      <c r="I1033" s="26">
        <f>SUM(H1033/G1033*100)</f>
        <v>13.15896006122691</v>
      </c>
    </row>
    <row r="1034" spans="1:9" ht="28.5" customHeight="1">
      <c r="A1034" s="285" t="s">
        <v>1016</v>
      </c>
      <c r="B1034" s="96"/>
      <c r="C1034" s="37" t="s">
        <v>1163</v>
      </c>
      <c r="D1034" s="37" t="s">
        <v>1140</v>
      </c>
      <c r="E1034" s="37" t="s">
        <v>778</v>
      </c>
      <c r="F1034" s="28"/>
      <c r="G1034" s="26">
        <f>SUM(G1035)+G1037</f>
        <v>384806</v>
      </c>
      <c r="H1034" s="26">
        <f>SUM(H1036+H1089+H1087)</f>
        <v>56722</v>
      </c>
      <c r="I1034" s="26">
        <f>SUM(H1034/G1034*100)</f>
        <v>14.740414650499211</v>
      </c>
    </row>
    <row r="1035" spans="1:9" ht="43.5" customHeight="1">
      <c r="A1035" s="285" t="s">
        <v>754</v>
      </c>
      <c r="B1035" s="96"/>
      <c r="C1035" s="37" t="s">
        <v>1163</v>
      </c>
      <c r="D1035" s="37" t="s">
        <v>1140</v>
      </c>
      <c r="E1035" s="37" t="s">
        <v>779</v>
      </c>
      <c r="F1035" s="28"/>
      <c r="G1035" s="26">
        <f>SUM(G1036)</f>
        <v>382960</v>
      </c>
      <c r="H1035" s="26"/>
      <c r="I1035" s="26"/>
    </row>
    <row r="1036" spans="1:9" ht="57" customHeight="1">
      <c r="A1036" s="297" t="s">
        <v>315</v>
      </c>
      <c r="B1036" s="56"/>
      <c r="C1036" s="37" t="s">
        <v>1163</v>
      </c>
      <c r="D1036" s="37" t="s">
        <v>1140</v>
      </c>
      <c r="E1036" s="37" t="s">
        <v>779</v>
      </c>
      <c r="F1036" s="29" t="s">
        <v>496</v>
      </c>
      <c r="G1036" s="26">
        <v>382960</v>
      </c>
      <c r="H1036" s="26">
        <v>56722</v>
      </c>
      <c r="I1036" s="26">
        <f>SUM(H1036/G1036*100)</f>
        <v>14.81146856068519</v>
      </c>
    </row>
    <row r="1037" spans="1:9" ht="32.25" customHeight="1">
      <c r="A1037" s="297" t="s">
        <v>559</v>
      </c>
      <c r="B1037" s="23"/>
      <c r="C1037" s="57" t="s">
        <v>1163</v>
      </c>
      <c r="D1037" s="57" t="s">
        <v>1140</v>
      </c>
      <c r="E1037" s="57" t="s">
        <v>781</v>
      </c>
      <c r="F1037" s="28"/>
      <c r="G1037" s="26">
        <f>SUM(G1038)</f>
        <v>1846</v>
      </c>
      <c r="H1037" s="26"/>
      <c r="I1037" s="26"/>
    </row>
    <row r="1038" spans="1:9" ht="24" customHeight="1">
      <c r="A1038" s="291" t="s">
        <v>316</v>
      </c>
      <c r="B1038" s="56"/>
      <c r="C1038" s="37" t="s">
        <v>1163</v>
      </c>
      <c r="D1038" s="37" t="s">
        <v>1140</v>
      </c>
      <c r="E1038" s="57" t="s">
        <v>781</v>
      </c>
      <c r="F1038" s="29" t="s">
        <v>772</v>
      </c>
      <c r="G1038" s="26">
        <v>1846</v>
      </c>
      <c r="H1038" s="26">
        <v>56722</v>
      </c>
      <c r="I1038" s="26">
        <f>SUM(H1038/G1038*100)</f>
        <v>3072.697724810401</v>
      </c>
    </row>
    <row r="1039" spans="1:9" ht="28.5">
      <c r="A1039" s="285" t="s">
        <v>493</v>
      </c>
      <c r="B1039" s="96"/>
      <c r="C1039" s="37" t="s">
        <v>1163</v>
      </c>
      <c r="D1039" s="37" t="s">
        <v>1140</v>
      </c>
      <c r="E1039" s="37" t="s">
        <v>550</v>
      </c>
      <c r="F1039" s="28"/>
      <c r="G1039" s="26">
        <f>SUM(G1042+G1040)</f>
        <v>46246.299999999996</v>
      </c>
      <c r="H1039" s="26">
        <f>SUM(H1040+H1046+H1052+H1054)+H1043</f>
        <v>213007.5</v>
      </c>
      <c r="I1039" s="26">
        <f t="shared" si="31"/>
        <v>460.59360424509646</v>
      </c>
    </row>
    <row r="1040" spans="1:9" ht="18.75" customHeight="1">
      <c r="A1040" s="297" t="s">
        <v>494</v>
      </c>
      <c r="B1040" s="56"/>
      <c r="C1040" s="57" t="s">
        <v>1163</v>
      </c>
      <c r="D1040" s="57" t="s">
        <v>1140</v>
      </c>
      <c r="E1040" s="57" t="s">
        <v>550</v>
      </c>
      <c r="F1040" s="29" t="s">
        <v>142</v>
      </c>
      <c r="G1040" s="26">
        <v>46082.1</v>
      </c>
      <c r="H1040" s="26">
        <v>187516.5</v>
      </c>
      <c r="I1040" s="26">
        <f t="shared" si="31"/>
        <v>406.9183045043521</v>
      </c>
    </row>
    <row r="1041" spans="1:9" ht="32.25" customHeight="1">
      <c r="A1041" s="297" t="s">
        <v>559</v>
      </c>
      <c r="B1041" s="23"/>
      <c r="C1041" s="57" t="s">
        <v>1163</v>
      </c>
      <c r="D1041" s="57" t="s">
        <v>1140</v>
      </c>
      <c r="E1041" s="57" t="s">
        <v>560</v>
      </c>
      <c r="F1041" s="28"/>
      <c r="G1041" s="26">
        <f>SUM(G1042)</f>
        <v>164.2</v>
      </c>
      <c r="H1041" s="26"/>
      <c r="I1041" s="26"/>
    </row>
    <row r="1042" spans="1:9" ht="18.75" customHeight="1">
      <c r="A1042" s="297" t="s">
        <v>494</v>
      </c>
      <c r="B1042" s="56"/>
      <c r="C1042" s="57" t="s">
        <v>1163</v>
      </c>
      <c r="D1042" s="57" t="s">
        <v>1140</v>
      </c>
      <c r="E1042" s="57" t="s">
        <v>560</v>
      </c>
      <c r="F1042" s="29" t="s">
        <v>142</v>
      </c>
      <c r="G1042" s="26">
        <v>164.2</v>
      </c>
      <c r="H1042" s="26">
        <v>187516.5</v>
      </c>
      <c r="I1042" s="26">
        <f>SUM(H1042/G1042*100)</f>
        <v>114200.06090133984</v>
      </c>
    </row>
    <row r="1043" spans="1:9" ht="71.25" customHeight="1" hidden="1">
      <c r="A1043" s="297" t="s">
        <v>553</v>
      </c>
      <c r="B1043" s="56"/>
      <c r="C1043" s="57" t="s">
        <v>1163</v>
      </c>
      <c r="D1043" s="57" t="s">
        <v>1140</v>
      </c>
      <c r="E1043" s="57" t="s">
        <v>554</v>
      </c>
      <c r="F1043" s="29"/>
      <c r="G1043" s="26">
        <f>SUM(G1044)</f>
        <v>0</v>
      </c>
      <c r="H1043" s="26">
        <f>SUM(H1044)</f>
        <v>120.3</v>
      </c>
      <c r="I1043" s="26" t="e">
        <f t="shared" si="31"/>
        <v>#DIV/0!</v>
      </c>
    </row>
    <row r="1044" spans="1:9" ht="29.25" customHeight="1" hidden="1">
      <c r="A1044" s="297" t="s">
        <v>555</v>
      </c>
      <c r="B1044" s="56"/>
      <c r="C1044" s="57" t="s">
        <v>1163</v>
      </c>
      <c r="D1044" s="57" t="s">
        <v>1140</v>
      </c>
      <c r="E1044" s="57" t="s">
        <v>554</v>
      </c>
      <c r="F1044" s="29" t="s">
        <v>556</v>
      </c>
      <c r="G1044" s="26"/>
      <c r="H1044" s="26">
        <v>120.3</v>
      </c>
      <c r="I1044" s="26" t="e">
        <f t="shared" si="31"/>
        <v>#DIV/0!</v>
      </c>
    </row>
    <row r="1045" spans="1:9" ht="63" customHeight="1" hidden="1">
      <c r="A1045" s="297" t="s">
        <v>551</v>
      </c>
      <c r="B1045" s="56"/>
      <c r="C1045" s="57" t="s">
        <v>1163</v>
      </c>
      <c r="D1045" s="57" t="s">
        <v>1140</v>
      </c>
      <c r="E1045" s="57" t="s">
        <v>550</v>
      </c>
      <c r="F1045" s="28" t="s">
        <v>552</v>
      </c>
      <c r="G1045" s="26"/>
      <c r="H1045" s="26"/>
      <c r="I1045" s="26" t="e">
        <f t="shared" si="31"/>
        <v>#DIV/0!</v>
      </c>
    </row>
    <row r="1046" spans="1:9" ht="37.5" customHeight="1" hidden="1">
      <c r="A1046" s="297" t="s">
        <v>557</v>
      </c>
      <c r="B1046" s="23"/>
      <c r="C1046" s="57" t="s">
        <v>1163</v>
      </c>
      <c r="D1046" s="57" t="s">
        <v>1140</v>
      </c>
      <c r="E1046" s="57" t="s">
        <v>558</v>
      </c>
      <c r="F1046" s="28"/>
      <c r="G1046" s="26">
        <f>SUM(G1047)</f>
        <v>0</v>
      </c>
      <c r="H1046" s="26">
        <f>SUM(H1047)</f>
        <v>24134</v>
      </c>
      <c r="I1046" s="26" t="e">
        <f t="shared" si="31"/>
        <v>#DIV/0!</v>
      </c>
    </row>
    <row r="1047" spans="1:9" ht="20.25" customHeight="1" hidden="1">
      <c r="A1047" s="297" t="s">
        <v>494</v>
      </c>
      <c r="B1047" s="23"/>
      <c r="C1047" s="57" t="s">
        <v>1163</v>
      </c>
      <c r="D1047" s="57" t="s">
        <v>1140</v>
      </c>
      <c r="E1047" s="57" t="s">
        <v>558</v>
      </c>
      <c r="F1047" s="28" t="s">
        <v>142</v>
      </c>
      <c r="G1047" s="26"/>
      <c r="H1047" s="26">
        <v>24134</v>
      </c>
      <c r="I1047" s="26" t="e">
        <f t="shared" si="31"/>
        <v>#DIV/0!</v>
      </c>
    </row>
    <row r="1048" spans="1:9" ht="32.25" customHeight="1" hidden="1">
      <c r="A1048" s="297" t="s">
        <v>559</v>
      </c>
      <c r="B1048" s="23"/>
      <c r="C1048" s="57" t="s">
        <v>1163</v>
      </c>
      <c r="D1048" s="57" t="s">
        <v>1140</v>
      </c>
      <c r="E1048" s="57" t="s">
        <v>780</v>
      </c>
      <c r="F1048" s="28"/>
      <c r="G1048" s="26"/>
      <c r="H1048" s="26"/>
      <c r="I1048" s="26"/>
    </row>
    <row r="1049" spans="1:9" ht="20.25" customHeight="1" hidden="1">
      <c r="A1049" s="297"/>
      <c r="B1049" s="23"/>
      <c r="C1049" s="57"/>
      <c r="D1049" s="57"/>
      <c r="E1049" s="57"/>
      <c r="F1049" s="28"/>
      <c r="G1049" s="26"/>
      <c r="H1049" s="26"/>
      <c r="I1049" s="26"/>
    </row>
    <row r="1050" spans="1:9" ht="44.25" customHeight="1" hidden="1">
      <c r="A1050" s="297" t="s">
        <v>767</v>
      </c>
      <c r="B1050" s="56"/>
      <c r="C1050" s="37" t="s">
        <v>1163</v>
      </c>
      <c r="D1050" s="37" t="s">
        <v>1140</v>
      </c>
      <c r="E1050" s="37" t="s">
        <v>779</v>
      </c>
      <c r="F1050" s="29" t="s">
        <v>496</v>
      </c>
      <c r="G1050" s="26"/>
      <c r="H1050" s="26">
        <v>56722</v>
      </c>
      <c r="I1050" s="26" t="e">
        <f>SUM(H1050/G1050*100)</f>
        <v>#DIV/0!</v>
      </c>
    </row>
    <row r="1051" spans="1:9" ht="20.25" customHeight="1" hidden="1">
      <c r="A1051" s="297"/>
      <c r="B1051" s="23"/>
      <c r="C1051" s="57"/>
      <c r="D1051" s="57"/>
      <c r="E1051" s="57"/>
      <c r="F1051" s="28"/>
      <c r="G1051" s="26"/>
      <c r="H1051" s="26"/>
      <c r="I1051" s="26"/>
    </row>
    <row r="1052" spans="1:9" ht="28.5" customHeight="1" hidden="1">
      <c r="A1052" s="297" t="s">
        <v>559</v>
      </c>
      <c r="B1052" s="23"/>
      <c r="C1052" s="57" t="s">
        <v>1163</v>
      </c>
      <c r="D1052" s="57" t="s">
        <v>1140</v>
      </c>
      <c r="E1052" s="57" t="s">
        <v>560</v>
      </c>
      <c r="F1052" s="28"/>
      <c r="G1052" s="26">
        <f>SUM(G1053)</f>
        <v>0</v>
      </c>
      <c r="H1052" s="26">
        <f>SUM(H1053)</f>
        <v>1236.7</v>
      </c>
      <c r="I1052" s="26" t="e">
        <f t="shared" si="31"/>
        <v>#DIV/0!</v>
      </c>
    </row>
    <row r="1053" spans="1:9" ht="20.25" customHeight="1" hidden="1">
      <c r="A1053" s="297" t="s">
        <v>494</v>
      </c>
      <c r="B1053" s="23"/>
      <c r="C1053" s="57" t="s">
        <v>1163</v>
      </c>
      <c r="D1053" s="57" t="s">
        <v>1140</v>
      </c>
      <c r="E1053" s="57" t="s">
        <v>560</v>
      </c>
      <c r="F1053" s="28" t="s">
        <v>142</v>
      </c>
      <c r="G1053" s="26"/>
      <c r="H1053" s="26">
        <v>1236.7</v>
      </c>
      <c r="I1053" s="26" t="e">
        <f t="shared" si="31"/>
        <v>#DIV/0!</v>
      </c>
    </row>
    <row r="1054" spans="1:9" ht="31.5" customHeight="1" hidden="1">
      <c r="A1054" s="285" t="s">
        <v>561</v>
      </c>
      <c r="B1054" s="30"/>
      <c r="C1054" s="57" t="s">
        <v>1163</v>
      </c>
      <c r="D1054" s="57" t="s">
        <v>1140</v>
      </c>
      <c r="E1054" s="57" t="s">
        <v>562</v>
      </c>
      <c r="F1054" s="29"/>
      <c r="G1054" s="26">
        <f>SUM(G1056)</f>
        <v>0</v>
      </c>
      <c r="H1054" s="26">
        <f>SUM(H1056)</f>
        <v>0</v>
      </c>
      <c r="I1054" s="26" t="e">
        <f t="shared" si="31"/>
        <v>#DIV/0!</v>
      </c>
    </row>
    <row r="1055" spans="1:9" ht="28.5" customHeight="1" hidden="1">
      <c r="A1055" s="285" t="s">
        <v>848</v>
      </c>
      <c r="B1055" s="30"/>
      <c r="C1055" s="57" t="s">
        <v>1163</v>
      </c>
      <c r="D1055" s="57" t="s">
        <v>1140</v>
      </c>
      <c r="E1055" s="57" t="s">
        <v>550</v>
      </c>
      <c r="F1055" s="29" t="s">
        <v>849</v>
      </c>
      <c r="G1055" s="26"/>
      <c r="H1055" s="26"/>
      <c r="I1055" s="26" t="e">
        <f t="shared" si="31"/>
        <v>#DIV/0!</v>
      </c>
    </row>
    <row r="1056" spans="1:9" ht="18.75" customHeight="1" hidden="1">
      <c r="A1056" s="297" t="s">
        <v>141</v>
      </c>
      <c r="B1056" s="30"/>
      <c r="C1056" s="57" t="s">
        <v>1163</v>
      </c>
      <c r="D1056" s="57" t="s">
        <v>1140</v>
      </c>
      <c r="E1056" s="57" t="s">
        <v>562</v>
      </c>
      <c r="F1056" s="29" t="s">
        <v>142</v>
      </c>
      <c r="G1056" s="26"/>
      <c r="H1056" s="26"/>
      <c r="I1056" s="26" t="e">
        <f t="shared" si="31"/>
        <v>#DIV/0!</v>
      </c>
    </row>
    <row r="1057" spans="1:9" ht="18.75" customHeight="1">
      <c r="A1057" s="285" t="s">
        <v>990</v>
      </c>
      <c r="B1057" s="56"/>
      <c r="C1057" s="57" t="s">
        <v>1163</v>
      </c>
      <c r="D1057" s="57" t="s">
        <v>1140</v>
      </c>
      <c r="E1057" s="37" t="s">
        <v>991</v>
      </c>
      <c r="F1057" s="29"/>
      <c r="G1057" s="26">
        <f>SUM(G1058)</f>
        <v>48.1</v>
      </c>
      <c r="H1057" s="26">
        <f>SUM(H1058)</f>
        <v>9549.8</v>
      </c>
      <c r="I1057" s="26">
        <f t="shared" si="31"/>
        <v>19854.054054054053</v>
      </c>
    </row>
    <row r="1058" spans="1:9" ht="63" customHeight="1">
      <c r="A1058" s="285" t="s">
        <v>220</v>
      </c>
      <c r="B1058" s="56"/>
      <c r="C1058" s="57" t="s">
        <v>1163</v>
      </c>
      <c r="D1058" s="57" t="s">
        <v>1140</v>
      </c>
      <c r="E1058" s="37" t="s">
        <v>564</v>
      </c>
      <c r="F1058" s="29"/>
      <c r="G1058" s="26">
        <f>SUM(G1060+G1059)</f>
        <v>48.1</v>
      </c>
      <c r="H1058" s="26">
        <f>SUM(H1059)</f>
        <v>9549.8</v>
      </c>
      <c r="I1058" s="26">
        <f t="shared" si="31"/>
        <v>19854.054054054053</v>
      </c>
    </row>
    <row r="1059" spans="1:9" ht="18.75" customHeight="1">
      <c r="A1059" s="297" t="s">
        <v>141</v>
      </c>
      <c r="B1059" s="56"/>
      <c r="C1059" s="57" t="s">
        <v>1163</v>
      </c>
      <c r="D1059" s="57" t="s">
        <v>1140</v>
      </c>
      <c r="E1059" s="37" t="s">
        <v>564</v>
      </c>
      <c r="F1059" s="29" t="s">
        <v>142</v>
      </c>
      <c r="G1059" s="26">
        <v>0.5</v>
      </c>
      <c r="H1059" s="26">
        <v>9549.8</v>
      </c>
      <c r="I1059" s="26">
        <f t="shared" si="31"/>
        <v>1909959.9999999998</v>
      </c>
    </row>
    <row r="1060" spans="1:9" ht="31.5" customHeight="1">
      <c r="A1060" s="291" t="s">
        <v>316</v>
      </c>
      <c r="B1060" s="56"/>
      <c r="C1060" s="37" t="s">
        <v>1163</v>
      </c>
      <c r="D1060" s="37" t="s">
        <v>1140</v>
      </c>
      <c r="E1060" s="37" t="s">
        <v>564</v>
      </c>
      <c r="F1060" s="29" t="s">
        <v>772</v>
      </c>
      <c r="G1060" s="26">
        <v>47.6</v>
      </c>
      <c r="H1060" s="26">
        <v>56722</v>
      </c>
      <c r="I1060" s="26">
        <f>SUM(H1060/G1060*100)</f>
        <v>119163.8655462185</v>
      </c>
    </row>
    <row r="1061" spans="1:9" ht="18.75" customHeight="1">
      <c r="A1061" s="285" t="s">
        <v>1186</v>
      </c>
      <c r="B1061" s="96"/>
      <c r="C1061" s="33" t="s">
        <v>1163</v>
      </c>
      <c r="D1061" s="33" t="s">
        <v>1140</v>
      </c>
      <c r="E1061" s="33" t="s">
        <v>1187</v>
      </c>
      <c r="F1061" s="103"/>
      <c r="G1061" s="26">
        <f>SUM(G1062)</f>
        <v>7603.5</v>
      </c>
      <c r="H1061" s="26"/>
      <c r="I1061" s="26"/>
    </row>
    <row r="1062" spans="1:9" ht="49.5" customHeight="1">
      <c r="A1062" s="285" t="s">
        <v>497</v>
      </c>
      <c r="B1062" s="96"/>
      <c r="C1062" s="33" t="s">
        <v>1163</v>
      </c>
      <c r="D1062" s="33" t="s">
        <v>1140</v>
      </c>
      <c r="E1062" s="33" t="s">
        <v>498</v>
      </c>
      <c r="F1062" s="103"/>
      <c r="G1062" s="26">
        <f>SUM(G1063+G1065)+G1064</f>
        <v>7603.5</v>
      </c>
      <c r="H1062" s="26"/>
      <c r="I1062" s="26"/>
    </row>
    <row r="1063" spans="1:9" ht="18.75" customHeight="1">
      <c r="A1063" s="291" t="s">
        <v>74</v>
      </c>
      <c r="B1063" s="56"/>
      <c r="C1063" s="166" t="s">
        <v>1163</v>
      </c>
      <c r="D1063" s="166" t="s">
        <v>1140</v>
      </c>
      <c r="E1063" s="33" t="s">
        <v>498</v>
      </c>
      <c r="F1063" s="167" t="s">
        <v>75</v>
      </c>
      <c r="G1063" s="26">
        <v>1173.6</v>
      </c>
      <c r="H1063" s="26"/>
      <c r="I1063" s="26"/>
    </row>
    <row r="1064" spans="1:9" ht="56.25" customHeight="1">
      <c r="A1064" s="297" t="s">
        <v>315</v>
      </c>
      <c r="B1064" s="56"/>
      <c r="C1064" s="166" t="s">
        <v>1163</v>
      </c>
      <c r="D1064" s="166" t="s">
        <v>1140</v>
      </c>
      <c r="E1064" s="33" t="s">
        <v>498</v>
      </c>
      <c r="F1064" s="29" t="s">
        <v>496</v>
      </c>
      <c r="G1064" s="26">
        <v>5173.4</v>
      </c>
      <c r="H1064" s="26">
        <v>56722</v>
      </c>
      <c r="I1064" s="26">
        <f>SUM(H1064/G1064*100)</f>
        <v>1096.4162832953184</v>
      </c>
    </row>
    <row r="1065" spans="1:9" ht="27.75" customHeight="1">
      <c r="A1065" s="291" t="s">
        <v>316</v>
      </c>
      <c r="B1065" s="56"/>
      <c r="C1065" s="166" t="s">
        <v>1163</v>
      </c>
      <c r="D1065" s="166" t="s">
        <v>1140</v>
      </c>
      <c r="E1065" s="33" t="s">
        <v>498</v>
      </c>
      <c r="F1065" s="167" t="s">
        <v>772</v>
      </c>
      <c r="G1065" s="26">
        <v>1256.5</v>
      </c>
      <c r="H1065" s="26"/>
      <c r="I1065" s="26"/>
    </row>
    <row r="1066" spans="1:9" ht="19.5" customHeight="1">
      <c r="A1066" s="285" t="s">
        <v>565</v>
      </c>
      <c r="B1066" s="96"/>
      <c r="C1066" s="37" t="s">
        <v>1163</v>
      </c>
      <c r="D1066" s="37" t="s">
        <v>1142</v>
      </c>
      <c r="E1066" s="37"/>
      <c r="F1066" s="28"/>
      <c r="G1066" s="26">
        <f>SUM(G1072+G1103+G1117+G1130)+G1126+G1067</f>
        <v>585199.7</v>
      </c>
      <c r="H1066" s="26">
        <f>SUM(H1072+H1103+H1117+H1130)+H1126+H1067</f>
        <v>377767.89999999997</v>
      </c>
      <c r="I1066" s="26">
        <f t="shared" si="31"/>
        <v>64.5536728744051</v>
      </c>
    </row>
    <row r="1067" spans="1:9" ht="18.75" customHeight="1" hidden="1">
      <c r="A1067" s="285" t="s">
        <v>660</v>
      </c>
      <c r="B1067" s="96"/>
      <c r="C1067" s="37" t="s">
        <v>1163</v>
      </c>
      <c r="D1067" s="37" t="s">
        <v>1142</v>
      </c>
      <c r="E1067" s="37" t="s">
        <v>662</v>
      </c>
      <c r="F1067" s="28"/>
      <c r="G1067" s="26">
        <f>SUM(G1068+G1070)</f>
        <v>0</v>
      </c>
      <c r="H1067" s="26">
        <f>SUM(H1068+H1070)</f>
        <v>0</v>
      </c>
      <c r="I1067" s="26" t="e">
        <f aca="true" t="shared" si="33" ref="I1067:I1130">SUM(H1067/G1067*100)</f>
        <v>#DIV/0!</v>
      </c>
    </row>
    <row r="1068" spans="1:9" ht="20.25" customHeight="1" hidden="1">
      <c r="A1068" s="285" t="s">
        <v>566</v>
      </c>
      <c r="B1068" s="96"/>
      <c r="C1068" s="37" t="s">
        <v>1163</v>
      </c>
      <c r="D1068" s="37" t="s">
        <v>1142</v>
      </c>
      <c r="E1068" s="37" t="s">
        <v>567</v>
      </c>
      <c r="F1068" s="28"/>
      <c r="G1068" s="26">
        <f>SUM(G1069)</f>
        <v>0</v>
      </c>
      <c r="H1068" s="26">
        <f>SUM(H1069)</f>
        <v>0</v>
      </c>
      <c r="I1068" s="26" t="e">
        <f t="shared" si="33"/>
        <v>#DIV/0!</v>
      </c>
    </row>
    <row r="1069" spans="1:9" ht="20.25" customHeight="1" hidden="1">
      <c r="A1069" s="297" t="s">
        <v>141</v>
      </c>
      <c r="B1069" s="96"/>
      <c r="C1069" s="37" t="s">
        <v>1163</v>
      </c>
      <c r="D1069" s="37" t="s">
        <v>1142</v>
      </c>
      <c r="E1069" s="37" t="s">
        <v>567</v>
      </c>
      <c r="F1069" s="28" t="s">
        <v>142</v>
      </c>
      <c r="G1069" s="26"/>
      <c r="H1069" s="26"/>
      <c r="I1069" s="26" t="e">
        <f t="shared" si="33"/>
        <v>#DIV/0!</v>
      </c>
    </row>
    <row r="1070" spans="1:9" ht="20.25" customHeight="1" hidden="1">
      <c r="A1070" s="285" t="s">
        <v>638</v>
      </c>
      <c r="B1070" s="23"/>
      <c r="C1070" s="37" t="s">
        <v>1163</v>
      </c>
      <c r="D1070" s="37" t="s">
        <v>1142</v>
      </c>
      <c r="E1070" s="24" t="s">
        <v>639</v>
      </c>
      <c r="F1070" s="28"/>
      <c r="G1070" s="26">
        <f>SUM(G1071)</f>
        <v>0</v>
      </c>
      <c r="H1070" s="26">
        <f>SUM(H1071)</f>
        <v>0</v>
      </c>
      <c r="I1070" s="26" t="e">
        <f t="shared" si="33"/>
        <v>#DIV/0!</v>
      </c>
    </row>
    <row r="1071" spans="1:9" ht="20.25" customHeight="1" hidden="1">
      <c r="A1071" s="297" t="s">
        <v>141</v>
      </c>
      <c r="B1071" s="96"/>
      <c r="C1071" s="37" t="s">
        <v>1163</v>
      </c>
      <c r="D1071" s="37" t="s">
        <v>1142</v>
      </c>
      <c r="E1071" s="37" t="s">
        <v>639</v>
      </c>
      <c r="F1071" s="28" t="s">
        <v>142</v>
      </c>
      <c r="G1071" s="26"/>
      <c r="H1071" s="26"/>
      <c r="I1071" s="26" t="e">
        <f t="shared" si="33"/>
        <v>#DIV/0!</v>
      </c>
    </row>
    <row r="1072" spans="1:9" ht="32.25" customHeight="1">
      <c r="A1072" s="285" t="s">
        <v>568</v>
      </c>
      <c r="B1072" s="96"/>
      <c r="C1072" s="37" t="s">
        <v>1163</v>
      </c>
      <c r="D1072" s="37" t="s">
        <v>1142</v>
      </c>
      <c r="E1072" s="37" t="s">
        <v>569</v>
      </c>
      <c r="F1072" s="28"/>
      <c r="G1072" s="26">
        <f>SUM(G1073+G1083)</f>
        <v>513920.6</v>
      </c>
      <c r="H1072" s="26">
        <f>SUM(H1083)</f>
        <v>260775.1</v>
      </c>
      <c r="I1072" s="26">
        <f t="shared" si="33"/>
        <v>50.742293653922424</v>
      </c>
    </row>
    <row r="1073" spans="1:9" ht="28.5" customHeight="1">
      <c r="A1073" s="285" t="s">
        <v>1016</v>
      </c>
      <c r="B1073" s="96"/>
      <c r="C1073" s="37" t="s">
        <v>1163</v>
      </c>
      <c r="D1073" s="37" t="s">
        <v>1142</v>
      </c>
      <c r="E1073" s="37" t="s">
        <v>782</v>
      </c>
      <c r="F1073" s="28"/>
      <c r="G1073" s="26">
        <f>SUM(G1074+G1076+G1078+G1080)</f>
        <v>236157.59999999998</v>
      </c>
      <c r="H1073" s="26">
        <f>SUM(H1075+H1129+H1127)</f>
        <v>56722</v>
      </c>
      <c r="I1073" s="26">
        <f>SUM(H1073/G1073*100)</f>
        <v>24.018706152162792</v>
      </c>
    </row>
    <row r="1074" spans="1:9" ht="43.5" customHeight="1">
      <c r="A1074" s="285" t="s">
        <v>754</v>
      </c>
      <c r="B1074" s="96"/>
      <c r="C1074" s="37" t="s">
        <v>1163</v>
      </c>
      <c r="D1074" s="37" t="s">
        <v>1142</v>
      </c>
      <c r="E1074" s="37" t="s">
        <v>783</v>
      </c>
      <c r="F1074" s="28"/>
      <c r="G1074" s="26">
        <f>SUM(G1075)</f>
        <v>54837.1</v>
      </c>
      <c r="H1074" s="26"/>
      <c r="I1074" s="26"/>
    </row>
    <row r="1075" spans="1:9" ht="56.25" customHeight="1">
      <c r="A1075" s="297" t="s">
        <v>315</v>
      </c>
      <c r="B1075" s="56"/>
      <c r="C1075" s="37" t="s">
        <v>1163</v>
      </c>
      <c r="D1075" s="37" t="s">
        <v>1142</v>
      </c>
      <c r="E1075" s="37" t="s">
        <v>783</v>
      </c>
      <c r="F1075" s="29" t="s">
        <v>496</v>
      </c>
      <c r="G1075" s="26">
        <f>54619.1+218</f>
        <v>54837.1</v>
      </c>
      <c r="H1075" s="26">
        <v>56722</v>
      </c>
      <c r="I1075" s="26">
        <f aca="true" t="shared" si="34" ref="I1075:I1081">SUM(H1075/G1075*100)</f>
        <v>103.43727148226291</v>
      </c>
    </row>
    <row r="1076" spans="1:9" ht="59.25" customHeight="1">
      <c r="A1076" s="297" t="s">
        <v>509</v>
      </c>
      <c r="B1076" s="56"/>
      <c r="C1076" s="37" t="s">
        <v>1163</v>
      </c>
      <c r="D1076" s="37" t="s">
        <v>1142</v>
      </c>
      <c r="E1076" s="37" t="s">
        <v>784</v>
      </c>
      <c r="F1076" s="29"/>
      <c r="G1076" s="26">
        <f>SUM(G1077)</f>
        <v>4384.1</v>
      </c>
      <c r="H1076" s="26">
        <f>SUM(H1077)</f>
        <v>56722</v>
      </c>
      <c r="I1076" s="26">
        <f t="shared" si="34"/>
        <v>1293.8117287470632</v>
      </c>
    </row>
    <row r="1077" spans="1:9" ht="51" customHeight="1">
      <c r="A1077" s="297" t="s">
        <v>315</v>
      </c>
      <c r="B1077" s="56"/>
      <c r="C1077" s="37" t="s">
        <v>1163</v>
      </c>
      <c r="D1077" s="37" t="s">
        <v>1142</v>
      </c>
      <c r="E1077" s="37" t="s">
        <v>784</v>
      </c>
      <c r="F1077" s="29" t="s">
        <v>496</v>
      </c>
      <c r="G1077" s="26">
        <v>4384.1</v>
      </c>
      <c r="H1077" s="26">
        <v>56722</v>
      </c>
      <c r="I1077" s="26">
        <f t="shared" si="34"/>
        <v>1293.8117287470632</v>
      </c>
    </row>
    <row r="1078" spans="1:9" ht="60.75" customHeight="1">
      <c r="A1078" s="297" t="s">
        <v>513</v>
      </c>
      <c r="B1078" s="56"/>
      <c r="C1078" s="37" t="s">
        <v>1163</v>
      </c>
      <c r="D1078" s="37" t="s">
        <v>1142</v>
      </c>
      <c r="E1078" s="37" t="s">
        <v>785</v>
      </c>
      <c r="F1078" s="29"/>
      <c r="G1078" s="26">
        <f>SUM(G1079)</f>
        <v>341.5</v>
      </c>
      <c r="H1078" s="26" t="e">
        <f>SUM(H1080)</f>
        <v>#REF!</v>
      </c>
      <c r="I1078" s="26" t="e">
        <f t="shared" si="34"/>
        <v>#REF!</v>
      </c>
    </row>
    <row r="1079" spans="1:9" ht="39.75" customHeight="1">
      <c r="A1079" s="291" t="s">
        <v>316</v>
      </c>
      <c r="B1079" s="56"/>
      <c r="C1079" s="37" t="s">
        <v>1163</v>
      </c>
      <c r="D1079" s="37" t="s">
        <v>1142</v>
      </c>
      <c r="E1079" s="57" t="s">
        <v>785</v>
      </c>
      <c r="F1079" s="29" t="s">
        <v>772</v>
      </c>
      <c r="G1079" s="26">
        <v>341.5</v>
      </c>
      <c r="H1079" s="26">
        <v>56722</v>
      </c>
      <c r="I1079" s="26">
        <f t="shared" si="34"/>
        <v>16609.663250366033</v>
      </c>
    </row>
    <row r="1080" spans="1:9" ht="48.75" customHeight="1">
      <c r="A1080" s="297" t="s">
        <v>803</v>
      </c>
      <c r="B1080" s="56"/>
      <c r="C1080" s="37" t="s">
        <v>1163</v>
      </c>
      <c r="D1080" s="37" t="s">
        <v>1142</v>
      </c>
      <c r="E1080" s="37" t="s">
        <v>786</v>
      </c>
      <c r="F1080" s="29"/>
      <c r="G1080" s="26">
        <f>SUM(G1081+G1082)</f>
        <v>176594.9</v>
      </c>
      <c r="H1080" s="26" t="e">
        <f>SUM(#REF!)</f>
        <v>#REF!</v>
      </c>
      <c r="I1080" s="26" t="e">
        <f t="shared" si="34"/>
        <v>#REF!</v>
      </c>
    </row>
    <row r="1081" spans="1:9" ht="61.5" customHeight="1">
      <c r="A1081" s="297" t="s">
        <v>1018</v>
      </c>
      <c r="B1081" s="56"/>
      <c r="C1081" s="37" t="s">
        <v>1163</v>
      </c>
      <c r="D1081" s="37" t="s">
        <v>1142</v>
      </c>
      <c r="E1081" s="37" t="s">
        <v>786</v>
      </c>
      <c r="F1081" s="29" t="s">
        <v>73</v>
      </c>
      <c r="G1081" s="26">
        <f>176594.9-1627.9</f>
        <v>174967</v>
      </c>
      <c r="H1081" s="26">
        <v>56722</v>
      </c>
      <c r="I1081" s="26">
        <f t="shared" si="34"/>
        <v>32.41868466625135</v>
      </c>
    </row>
    <row r="1082" spans="1:9" ht="33.75" customHeight="1">
      <c r="A1082" s="297" t="s">
        <v>316</v>
      </c>
      <c r="B1082" s="56"/>
      <c r="C1082" s="37" t="s">
        <v>1163</v>
      </c>
      <c r="D1082" s="37" t="s">
        <v>1142</v>
      </c>
      <c r="E1082" s="37" t="s">
        <v>786</v>
      </c>
      <c r="F1082" s="29" t="s">
        <v>772</v>
      </c>
      <c r="G1082" s="26">
        <v>1627.9</v>
      </c>
      <c r="H1082" s="26"/>
      <c r="I1082" s="26"/>
    </row>
    <row r="1083" spans="1:9" ht="37.5" customHeight="1">
      <c r="A1083" s="285" t="s">
        <v>493</v>
      </c>
      <c r="B1083" s="96"/>
      <c r="C1083" s="37" t="s">
        <v>1163</v>
      </c>
      <c r="D1083" s="37" t="s">
        <v>1142</v>
      </c>
      <c r="E1083" s="37" t="s">
        <v>570</v>
      </c>
      <c r="F1083" s="28"/>
      <c r="G1083" s="26">
        <f>SUM(G1084+G1092+G1096+G1101)</f>
        <v>277763</v>
      </c>
      <c r="H1083" s="26">
        <f>SUM(H1084+H1092+H1094+H1101)+H1096+H1086+H1090+H1099</f>
        <v>260775.1</v>
      </c>
      <c r="I1083" s="26">
        <f t="shared" si="33"/>
        <v>93.88403063042954</v>
      </c>
    </row>
    <row r="1084" spans="1:9" ht="19.5" customHeight="1">
      <c r="A1084" s="297" t="s">
        <v>494</v>
      </c>
      <c r="B1084" s="56"/>
      <c r="C1084" s="37" t="s">
        <v>1163</v>
      </c>
      <c r="D1084" s="37" t="s">
        <v>1142</v>
      </c>
      <c r="E1084" s="37" t="s">
        <v>570</v>
      </c>
      <c r="F1084" s="29" t="s">
        <v>142</v>
      </c>
      <c r="G1084" s="26">
        <v>61549.9</v>
      </c>
      <c r="H1084" s="26">
        <v>53118.9</v>
      </c>
      <c r="I1084" s="26">
        <f t="shared" si="33"/>
        <v>86.30217108394977</v>
      </c>
    </row>
    <row r="1085" spans="1:9" ht="75.75" customHeight="1" hidden="1">
      <c r="A1085" s="297" t="s">
        <v>553</v>
      </c>
      <c r="B1085" s="56"/>
      <c r="C1085" s="37" t="s">
        <v>1163</v>
      </c>
      <c r="D1085" s="37" t="s">
        <v>1142</v>
      </c>
      <c r="E1085" s="37" t="s">
        <v>573</v>
      </c>
      <c r="F1085" s="29"/>
      <c r="G1085" s="26">
        <f>SUM(G1086)</f>
        <v>0</v>
      </c>
      <c r="H1085" s="26">
        <f>SUM(H1086)</f>
        <v>392.5</v>
      </c>
      <c r="I1085" s="26" t="e">
        <f t="shared" si="33"/>
        <v>#DIV/0!</v>
      </c>
    </row>
    <row r="1086" spans="1:9" ht="31.5" customHeight="1" hidden="1">
      <c r="A1086" s="297" t="s">
        <v>555</v>
      </c>
      <c r="B1086" s="56"/>
      <c r="C1086" s="37" t="s">
        <v>1163</v>
      </c>
      <c r="D1086" s="37" t="s">
        <v>1142</v>
      </c>
      <c r="E1086" s="37" t="s">
        <v>573</v>
      </c>
      <c r="F1086" s="29" t="s">
        <v>556</v>
      </c>
      <c r="G1086" s="26"/>
      <c r="H1086" s="26">
        <v>392.5</v>
      </c>
      <c r="I1086" s="26" t="e">
        <f t="shared" si="33"/>
        <v>#DIV/0!</v>
      </c>
    </row>
    <row r="1087" spans="1:9" ht="28.5" customHeight="1" hidden="1">
      <c r="A1087" s="297" t="s">
        <v>551</v>
      </c>
      <c r="B1087" s="56"/>
      <c r="C1087" s="37" t="s">
        <v>1163</v>
      </c>
      <c r="D1087" s="37" t="s">
        <v>1142</v>
      </c>
      <c r="E1087" s="37" t="s">
        <v>570</v>
      </c>
      <c r="F1087" s="28" t="s">
        <v>552</v>
      </c>
      <c r="G1087" s="26"/>
      <c r="H1087" s="26"/>
      <c r="I1087" s="26" t="e">
        <f t="shared" si="33"/>
        <v>#DIV/0!</v>
      </c>
    </row>
    <row r="1088" spans="1:9" ht="22.5" customHeight="1" hidden="1">
      <c r="A1088" s="297" t="s">
        <v>141</v>
      </c>
      <c r="B1088" s="56"/>
      <c r="C1088" s="37" t="s">
        <v>1163</v>
      </c>
      <c r="D1088" s="37" t="s">
        <v>1142</v>
      </c>
      <c r="E1088" s="57" t="s">
        <v>575</v>
      </c>
      <c r="F1088" s="29" t="s">
        <v>142</v>
      </c>
      <c r="G1088" s="26"/>
      <c r="H1088" s="26"/>
      <c r="I1088" s="26" t="e">
        <f t="shared" si="33"/>
        <v>#DIV/0!</v>
      </c>
    </row>
    <row r="1089" spans="1:9" ht="30" customHeight="1" hidden="1">
      <c r="A1089" s="297" t="s">
        <v>571</v>
      </c>
      <c r="B1089" s="56"/>
      <c r="C1089" s="37" t="s">
        <v>1163</v>
      </c>
      <c r="D1089" s="37" t="s">
        <v>1142</v>
      </c>
      <c r="E1089" s="37" t="s">
        <v>570</v>
      </c>
      <c r="F1089" s="29" t="s">
        <v>572</v>
      </c>
      <c r="G1089" s="26"/>
      <c r="H1089" s="26"/>
      <c r="I1089" s="26" t="e">
        <f t="shared" si="33"/>
        <v>#DIV/0!</v>
      </c>
    </row>
    <row r="1090" spans="1:9" ht="23.25" customHeight="1" hidden="1">
      <c r="A1090" s="297" t="s">
        <v>574</v>
      </c>
      <c r="B1090" s="56"/>
      <c r="C1090" s="37" t="s">
        <v>1163</v>
      </c>
      <c r="D1090" s="37" t="s">
        <v>1142</v>
      </c>
      <c r="E1090" s="57" t="s">
        <v>575</v>
      </c>
      <c r="F1090" s="29"/>
      <c r="G1090" s="26">
        <f>SUM(G1091)</f>
        <v>0</v>
      </c>
      <c r="H1090" s="26">
        <f>SUM(H1091)</f>
        <v>0</v>
      </c>
      <c r="I1090" s="26" t="e">
        <f t="shared" si="33"/>
        <v>#DIV/0!</v>
      </c>
    </row>
    <row r="1091" spans="1:9" ht="22.5" customHeight="1" hidden="1">
      <c r="A1091" s="297" t="s">
        <v>141</v>
      </c>
      <c r="B1091" s="56"/>
      <c r="C1091" s="37" t="s">
        <v>1163</v>
      </c>
      <c r="D1091" s="37" t="s">
        <v>1142</v>
      </c>
      <c r="E1091" s="57" t="s">
        <v>575</v>
      </c>
      <c r="F1091" s="29" t="s">
        <v>142</v>
      </c>
      <c r="G1091" s="26"/>
      <c r="H1091" s="26"/>
      <c r="I1091" s="26" t="e">
        <f t="shared" si="33"/>
        <v>#DIV/0!</v>
      </c>
    </row>
    <row r="1092" spans="1:9" ht="60.75" customHeight="1">
      <c r="A1092" s="297" t="s">
        <v>509</v>
      </c>
      <c r="B1092" s="56"/>
      <c r="C1092" s="37" t="s">
        <v>1163</v>
      </c>
      <c r="D1092" s="37" t="s">
        <v>1142</v>
      </c>
      <c r="E1092" s="37" t="s">
        <v>510</v>
      </c>
      <c r="F1092" s="29"/>
      <c r="G1092" s="26">
        <f>SUM(G1093)</f>
        <v>5466.6</v>
      </c>
      <c r="H1092" s="26">
        <f>SUM(H1093)</f>
        <v>5014</v>
      </c>
      <c r="I1092" s="26">
        <f t="shared" si="33"/>
        <v>91.72063073939925</v>
      </c>
    </row>
    <row r="1093" spans="1:9" ht="17.25" customHeight="1">
      <c r="A1093" s="297" t="s">
        <v>494</v>
      </c>
      <c r="B1093" s="56"/>
      <c r="C1093" s="37" t="s">
        <v>1163</v>
      </c>
      <c r="D1093" s="37" t="s">
        <v>1142</v>
      </c>
      <c r="E1093" s="37" t="s">
        <v>510</v>
      </c>
      <c r="F1093" s="29" t="s">
        <v>142</v>
      </c>
      <c r="G1093" s="26">
        <v>5466.6</v>
      </c>
      <c r="H1093" s="26">
        <v>5014</v>
      </c>
      <c r="I1093" s="26">
        <f t="shared" si="33"/>
        <v>91.72063073939925</v>
      </c>
    </row>
    <row r="1094" spans="1:9" ht="19.5" customHeight="1" hidden="1">
      <c r="A1094" s="285" t="s">
        <v>511</v>
      </c>
      <c r="B1094" s="30"/>
      <c r="C1094" s="37" t="s">
        <v>1163</v>
      </c>
      <c r="D1094" s="37" t="s">
        <v>1142</v>
      </c>
      <c r="E1094" s="37" t="s">
        <v>512</v>
      </c>
      <c r="F1094" s="29"/>
      <c r="G1094" s="26">
        <f>SUM(G1095)</f>
        <v>0</v>
      </c>
      <c r="H1094" s="26">
        <f>SUM(H1095)</f>
        <v>0</v>
      </c>
      <c r="I1094" s="26" t="e">
        <f t="shared" si="33"/>
        <v>#DIV/0!</v>
      </c>
    </row>
    <row r="1095" spans="1:9" ht="16.5" customHeight="1" hidden="1">
      <c r="A1095" s="297" t="s">
        <v>141</v>
      </c>
      <c r="B1095" s="30"/>
      <c r="C1095" s="37" t="s">
        <v>1163</v>
      </c>
      <c r="D1095" s="37" t="s">
        <v>1142</v>
      </c>
      <c r="E1095" s="37" t="s">
        <v>512</v>
      </c>
      <c r="F1095" s="29" t="s">
        <v>142</v>
      </c>
      <c r="G1095" s="26"/>
      <c r="H1095" s="26"/>
      <c r="I1095" s="26" t="e">
        <f t="shared" si="33"/>
        <v>#DIV/0!</v>
      </c>
    </row>
    <row r="1096" spans="1:9" ht="60.75" customHeight="1">
      <c r="A1096" s="297" t="s">
        <v>513</v>
      </c>
      <c r="B1096" s="56"/>
      <c r="C1096" s="37" t="s">
        <v>1163</v>
      </c>
      <c r="D1096" s="37" t="s">
        <v>1142</v>
      </c>
      <c r="E1096" s="37" t="s">
        <v>514</v>
      </c>
      <c r="F1096" s="29"/>
      <c r="G1096" s="26">
        <f>SUM(G1098)</f>
        <v>504.2</v>
      </c>
      <c r="H1096" s="26">
        <f>SUM(H1098)</f>
        <v>454</v>
      </c>
      <c r="I1096" s="26">
        <f t="shared" si="33"/>
        <v>90.04363347877826</v>
      </c>
    </row>
    <row r="1097" spans="1:9" ht="20.25" customHeight="1" hidden="1">
      <c r="A1097" s="285" t="s">
        <v>848</v>
      </c>
      <c r="B1097" s="56"/>
      <c r="C1097" s="37" t="s">
        <v>1163</v>
      </c>
      <c r="D1097" s="37" t="s">
        <v>1142</v>
      </c>
      <c r="E1097" s="37" t="s">
        <v>570</v>
      </c>
      <c r="F1097" s="29" t="s">
        <v>849</v>
      </c>
      <c r="G1097" s="26"/>
      <c r="H1097" s="26"/>
      <c r="I1097" s="26" t="e">
        <f t="shared" si="33"/>
        <v>#DIV/0!</v>
      </c>
    </row>
    <row r="1098" spans="1:9" ht="20.25" customHeight="1">
      <c r="A1098" s="297" t="s">
        <v>494</v>
      </c>
      <c r="B1098" s="56"/>
      <c r="C1098" s="37" t="s">
        <v>1163</v>
      </c>
      <c r="D1098" s="37" t="s">
        <v>1142</v>
      </c>
      <c r="E1098" s="37" t="s">
        <v>514</v>
      </c>
      <c r="F1098" s="29" t="s">
        <v>142</v>
      </c>
      <c r="G1098" s="26">
        <v>504.2</v>
      </c>
      <c r="H1098" s="26">
        <v>454</v>
      </c>
      <c r="I1098" s="26">
        <f t="shared" si="33"/>
        <v>90.04363347877826</v>
      </c>
    </row>
    <row r="1099" spans="1:9" ht="75.75" customHeight="1" hidden="1">
      <c r="A1099" s="297" t="s">
        <v>850</v>
      </c>
      <c r="B1099" s="56"/>
      <c r="C1099" s="37" t="s">
        <v>1163</v>
      </c>
      <c r="D1099" s="37" t="s">
        <v>1142</v>
      </c>
      <c r="E1099" s="37" t="s">
        <v>851</v>
      </c>
      <c r="F1099" s="29"/>
      <c r="G1099" s="26">
        <f>SUM(G1100)</f>
        <v>0</v>
      </c>
      <c r="H1099" s="26">
        <f>SUM(H1100)</f>
        <v>0</v>
      </c>
      <c r="I1099" s="26" t="e">
        <f t="shared" si="33"/>
        <v>#DIV/0!</v>
      </c>
    </row>
    <row r="1100" spans="1:9" ht="21" customHeight="1" hidden="1">
      <c r="A1100" s="297" t="s">
        <v>852</v>
      </c>
      <c r="B1100" s="56"/>
      <c r="C1100" s="37" t="s">
        <v>1163</v>
      </c>
      <c r="D1100" s="37" t="s">
        <v>1142</v>
      </c>
      <c r="E1100" s="37" t="s">
        <v>851</v>
      </c>
      <c r="F1100" s="29" t="s">
        <v>853</v>
      </c>
      <c r="G1100" s="26"/>
      <c r="H1100" s="26"/>
      <c r="I1100" s="26" t="e">
        <f t="shared" si="33"/>
        <v>#DIV/0!</v>
      </c>
    </row>
    <row r="1101" spans="1:9" ht="62.25" customHeight="1">
      <c r="A1101" s="297" t="s">
        <v>854</v>
      </c>
      <c r="B1101" s="56"/>
      <c r="C1101" s="37" t="s">
        <v>1163</v>
      </c>
      <c r="D1101" s="37" t="s">
        <v>1142</v>
      </c>
      <c r="E1101" s="37" t="s">
        <v>855</v>
      </c>
      <c r="F1101" s="29"/>
      <c r="G1101" s="26">
        <f>SUM(G1102)</f>
        <v>210242.3</v>
      </c>
      <c r="H1101" s="26">
        <f>SUM(H1102)</f>
        <v>201795.7</v>
      </c>
      <c r="I1101" s="26">
        <f t="shared" si="33"/>
        <v>95.98244501701133</v>
      </c>
    </row>
    <row r="1102" spans="1:9" ht="15.75">
      <c r="A1102" s="297" t="s">
        <v>494</v>
      </c>
      <c r="B1102" s="56"/>
      <c r="C1102" s="37" t="s">
        <v>1163</v>
      </c>
      <c r="D1102" s="37" t="s">
        <v>1142</v>
      </c>
      <c r="E1102" s="37" t="s">
        <v>855</v>
      </c>
      <c r="F1102" s="29" t="s">
        <v>142</v>
      </c>
      <c r="G1102" s="26">
        <v>210242.3</v>
      </c>
      <c r="H1102" s="26">
        <v>201795.7</v>
      </c>
      <c r="I1102" s="26">
        <f t="shared" si="33"/>
        <v>95.98244501701133</v>
      </c>
    </row>
    <row r="1103" spans="1:9" ht="15" customHeight="1">
      <c r="A1103" s="285" t="s">
        <v>856</v>
      </c>
      <c r="B1103" s="23"/>
      <c r="C1103" s="37" t="s">
        <v>1163</v>
      </c>
      <c r="D1103" s="37" t="s">
        <v>1142</v>
      </c>
      <c r="E1103" s="37" t="s">
        <v>857</v>
      </c>
      <c r="F1103" s="28"/>
      <c r="G1103" s="26">
        <f>SUM(G1106)</f>
        <v>30040.5</v>
      </c>
      <c r="H1103" s="26">
        <f>SUM(H1108)</f>
        <v>39140.2</v>
      </c>
      <c r="I1103" s="26">
        <f t="shared" si="33"/>
        <v>130.29143988948252</v>
      </c>
    </row>
    <row r="1104" spans="1:9" ht="28.5" customHeight="1">
      <c r="A1104" s="285" t="s">
        <v>1016</v>
      </c>
      <c r="B1104" s="96"/>
      <c r="C1104" s="37" t="s">
        <v>1163</v>
      </c>
      <c r="D1104" s="37" t="s">
        <v>1142</v>
      </c>
      <c r="E1104" s="37" t="s">
        <v>765</v>
      </c>
      <c r="F1104" s="28"/>
      <c r="G1104" s="26">
        <f>SUM(G1105+G1107+G1109+G1111)</f>
        <v>30040.5</v>
      </c>
      <c r="H1104" s="26" t="e">
        <f>SUM(H1106+H1160+H1158)</f>
        <v>#REF!</v>
      </c>
      <c r="I1104" s="26" t="e">
        <f>SUM(H1104/G1104*100)</f>
        <v>#REF!</v>
      </c>
    </row>
    <row r="1105" spans="1:9" ht="43.5" customHeight="1">
      <c r="A1105" s="285" t="s">
        <v>804</v>
      </c>
      <c r="B1105" s="96"/>
      <c r="C1105" s="37" t="s">
        <v>1163</v>
      </c>
      <c r="D1105" s="37" t="s">
        <v>1142</v>
      </c>
      <c r="E1105" s="37" t="s">
        <v>766</v>
      </c>
      <c r="F1105" s="28"/>
      <c r="G1105" s="26">
        <f>SUM(G1106)</f>
        <v>30040.5</v>
      </c>
      <c r="H1105" s="26"/>
      <c r="I1105" s="26"/>
    </row>
    <row r="1106" spans="1:9" ht="58.5" customHeight="1">
      <c r="A1106" s="297" t="s">
        <v>315</v>
      </c>
      <c r="B1106" s="56"/>
      <c r="C1106" s="37" t="s">
        <v>1163</v>
      </c>
      <c r="D1106" s="37" t="s">
        <v>1142</v>
      </c>
      <c r="E1106" s="37" t="s">
        <v>766</v>
      </c>
      <c r="F1106" s="29" t="s">
        <v>496</v>
      </c>
      <c r="G1106" s="26">
        <f>30075.8-35.3</f>
        <v>30040.5</v>
      </c>
      <c r="H1106" s="26">
        <v>56722</v>
      </c>
      <c r="I1106" s="26">
        <f>SUM(H1106/G1106*100)</f>
        <v>188.81842845491917</v>
      </c>
    </row>
    <row r="1107" spans="1:9" ht="15" customHeight="1" hidden="1">
      <c r="A1107" s="285"/>
      <c r="B1107" s="23"/>
      <c r="C1107" s="37"/>
      <c r="D1107" s="37"/>
      <c r="E1107" s="37"/>
      <c r="F1107" s="28"/>
      <c r="G1107" s="26"/>
      <c r="H1107" s="26"/>
      <c r="I1107" s="26"/>
    </row>
    <row r="1108" spans="1:9" ht="32.25" customHeight="1" hidden="1">
      <c r="A1108" s="285" t="s">
        <v>139</v>
      </c>
      <c r="B1108" s="96"/>
      <c r="C1108" s="37" t="s">
        <v>1163</v>
      </c>
      <c r="D1108" s="37" t="s">
        <v>1142</v>
      </c>
      <c r="E1108" s="37" t="s">
        <v>858</v>
      </c>
      <c r="F1108" s="28"/>
      <c r="G1108" s="26">
        <f>SUM(G1109+G1114+G1110)</f>
        <v>0</v>
      </c>
      <c r="H1108" s="26">
        <f>SUM(H1109+H1114+H1110)</f>
        <v>39140.2</v>
      </c>
      <c r="I1108" s="26" t="e">
        <f t="shared" si="33"/>
        <v>#DIV/0!</v>
      </c>
    </row>
    <row r="1109" spans="1:9" ht="19.5" customHeight="1" hidden="1">
      <c r="A1109" s="297" t="s">
        <v>494</v>
      </c>
      <c r="B1109" s="56"/>
      <c r="C1109" s="37" t="s">
        <v>1163</v>
      </c>
      <c r="D1109" s="37" t="s">
        <v>1142</v>
      </c>
      <c r="E1109" s="37" t="s">
        <v>858</v>
      </c>
      <c r="F1109" s="29" t="s">
        <v>142</v>
      </c>
      <c r="G1109" s="26"/>
      <c r="H1109" s="26">
        <v>39061.6</v>
      </c>
      <c r="I1109" s="26" t="e">
        <f t="shared" si="33"/>
        <v>#DIV/0!</v>
      </c>
    </row>
    <row r="1110" spans="1:9" ht="78" customHeight="1" hidden="1">
      <c r="A1110" s="297" t="s">
        <v>553</v>
      </c>
      <c r="B1110" s="56"/>
      <c r="C1110" s="37" t="s">
        <v>1163</v>
      </c>
      <c r="D1110" s="37" t="s">
        <v>1142</v>
      </c>
      <c r="E1110" s="37" t="s">
        <v>522</v>
      </c>
      <c r="F1110" s="29"/>
      <c r="G1110" s="26">
        <f>SUM(G1111)</f>
        <v>0</v>
      </c>
      <c r="H1110" s="26">
        <f>SUM(H1111)</f>
        <v>78.6</v>
      </c>
      <c r="I1110" s="26" t="e">
        <f t="shared" si="33"/>
        <v>#DIV/0!</v>
      </c>
    </row>
    <row r="1111" spans="1:9" ht="37.5" customHeight="1" hidden="1">
      <c r="A1111" s="297" t="s">
        <v>555</v>
      </c>
      <c r="B1111" s="56"/>
      <c r="C1111" s="37" t="s">
        <v>1163</v>
      </c>
      <c r="D1111" s="37" t="s">
        <v>1142</v>
      </c>
      <c r="E1111" s="37" t="s">
        <v>522</v>
      </c>
      <c r="F1111" s="29" t="s">
        <v>556</v>
      </c>
      <c r="G1111" s="26"/>
      <c r="H1111" s="26">
        <v>78.6</v>
      </c>
      <c r="I1111" s="26" t="e">
        <f t="shared" si="33"/>
        <v>#DIV/0!</v>
      </c>
    </row>
    <row r="1112" spans="1:9" ht="27" customHeight="1" hidden="1">
      <c r="A1112" s="297" t="s">
        <v>859</v>
      </c>
      <c r="B1112" s="56"/>
      <c r="C1112" s="37" t="s">
        <v>1163</v>
      </c>
      <c r="D1112" s="37" t="s">
        <v>1142</v>
      </c>
      <c r="E1112" s="37" t="s">
        <v>858</v>
      </c>
      <c r="F1112" s="29" t="s">
        <v>521</v>
      </c>
      <c r="G1112" s="26"/>
      <c r="H1112" s="26"/>
      <c r="I1112" s="26" t="e">
        <f t="shared" si="33"/>
        <v>#DIV/0!</v>
      </c>
    </row>
    <row r="1113" spans="1:9" ht="32.25" customHeight="1" hidden="1">
      <c r="A1113" s="297" t="s">
        <v>551</v>
      </c>
      <c r="B1113" s="56"/>
      <c r="C1113" s="37" t="s">
        <v>1163</v>
      </c>
      <c r="D1113" s="37" t="s">
        <v>1142</v>
      </c>
      <c r="E1113" s="37" t="s">
        <v>858</v>
      </c>
      <c r="F1113" s="28" t="s">
        <v>552</v>
      </c>
      <c r="G1113" s="26"/>
      <c r="H1113" s="26"/>
      <c r="I1113" s="26" t="e">
        <f t="shared" si="33"/>
        <v>#DIV/0!</v>
      </c>
    </row>
    <row r="1114" spans="1:9" s="106" customFormat="1" ht="57" customHeight="1" hidden="1">
      <c r="A1114" s="285" t="s">
        <v>511</v>
      </c>
      <c r="B1114" s="56"/>
      <c r="C1114" s="37" t="s">
        <v>1163</v>
      </c>
      <c r="D1114" s="37" t="s">
        <v>1142</v>
      </c>
      <c r="E1114" s="37" t="s">
        <v>523</v>
      </c>
      <c r="F1114" s="29"/>
      <c r="G1114" s="26">
        <f>SUM(G1116)</f>
        <v>0</v>
      </c>
      <c r="H1114" s="26">
        <f>SUM(H1116)</f>
        <v>0</v>
      </c>
      <c r="I1114" s="26" t="e">
        <f t="shared" si="33"/>
        <v>#DIV/0!</v>
      </c>
    </row>
    <row r="1115" spans="1:9" ht="42.75" customHeight="1" hidden="1">
      <c r="A1115" s="285" t="s">
        <v>848</v>
      </c>
      <c r="B1115" s="56"/>
      <c r="C1115" s="37" t="s">
        <v>1163</v>
      </c>
      <c r="D1115" s="37" t="s">
        <v>1142</v>
      </c>
      <c r="E1115" s="37" t="s">
        <v>858</v>
      </c>
      <c r="F1115" s="29" t="s">
        <v>849</v>
      </c>
      <c r="G1115" s="26"/>
      <c r="H1115" s="26"/>
      <c r="I1115" s="26" t="e">
        <f t="shared" si="33"/>
        <v>#DIV/0!</v>
      </c>
    </row>
    <row r="1116" spans="1:9" ht="0.75" customHeight="1" hidden="1">
      <c r="A1116" s="297" t="s">
        <v>141</v>
      </c>
      <c r="B1116" s="56"/>
      <c r="C1116" s="37" t="s">
        <v>1163</v>
      </c>
      <c r="D1116" s="37" t="s">
        <v>1142</v>
      </c>
      <c r="E1116" s="37" t="s">
        <v>523</v>
      </c>
      <c r="F1116" s="29" t="s">
        <v>142</v>
      </c>
      <c r="G1116" s="26"/>
      <c r="H1116" s="26"/>
      <c r="I1116" s="26" t="e">
        <f t="shared" si="33"/>
        <v>#DIV/0!</v>
      </c>
    </row>
    <row r="1117" spans="1:9" ht="19.5" customHeight="1">
      <c r="A1117" s="285" t="s">
        <v>534</v>
      </c>
      <c r="B1117" s="37"/>
      <c r="C1117" s="37" t="s">
        <v>1163</v>
      </c>
      <c r="D1117" s="37" t="s">
        <v>1142</v>
      </c>
      <c r="E1117" s="37" t="s">
        <v>535</v>
      </c>
      <c r="F1117" s="28"/>
      <c r="G1117" s="26">
        <f>SUM(G1118)</f>
        <v>28819.9</v>
      </c>
      <c r="H1117" s="26">
        <f>SUM(H1118)</f>
        <v>13916.300000000001</v>
      </c>
      <c r="I1117" s="26">
        <f t="shared" si="33"/>
        <v>48.287121051773255</v>
      </c>
    </row>
    <row r="1118" spans="1:9" ht="34.5" customHeight="1">
      <c r="A1118" s="285" t="s">
        <v>837</v>
      </c>
      <c r="B1118" s="96"/>
      <c r="C1118" s="37" t="s">
        <v>1163</v>
      </c>
      <c r="D1118" s="37" t="s">
        <v>1142</v>
      </c>
      <c r="E1118" s="37" t="s">
        <v>536</v>
      </c>
      <c r="F1118" s="28"/>
      <c r="G1118" s="26">
        <f>SUM(G1120+G1122+G1124)</f>
        <v>28819.9</v>
      </c>
      <c r="H1118" s="26">
        <f>SUM(H1120+H1122+H1124)</f>
        <v>13916.300000000001</v>
      </c>
      <c r="I1118" s="26">
        <f t="shared" si="33"/>
        <v>48.287121051773255</v>
      </c>
    </row>
    <row r="1119" spans="1:9" ht="21.75" customHeight="1" hidden="1">
      <c r="A1119" s="297" t="s">
        <v>141</v>
      </c>
      <c r="B1119" s="56"/>
      <c r="C1119" s="37" t="s">
        <v>1163</v>
      </c>
      <c r="D1119" s="37" t="s">
        <v>1142</v>
      </c>
      <c r="E1119" s="37" t="s">
        <v>536</v>
      </c>
      <c r="F1119" s="29" t="s">
        <v>142</v>
      </c>
      <c r="G1119" s="26"/>
      <c r="H1119" s="26"/>
      <c r="I1119" s="26" t="e">
        <f t="shared" si="33"/>
        <v>#DIV/0!</v>
      </c>
    </row>
    <row r="1120" spans="1:9" ht="78" customHeight="1" hidden="1">
      <c r="A1120" s="297" t="s">
        <v>553</v>
      </c>
      <c r="B1120" s="56"/>
      <c r="C1120" s="37" t="s">
        <v>1163</v>
      </c>
      <c r="D1120" s="37" t="s">
        <v>1142</v>
      </c>
      <c r="E1120" s="37" t="s">
        <v>872</v>
      </c>
      <c r="F1120" s="29"/>
      <c r="G1120" s="26">
        <f>SUM(G1121)</f>
        <v>0</v>
      </c>
      <c r="H1120" s="26">
        <f>SUM(H1121)</f>
        <v>40.9</v>
      </c>
      <c r="I1120" s="26" t="e">
        <f t="shared" si="33"/>
        <v>#DIV/0!</v>
      </c>
    </row>
    <row r="1121" spans="1:9" ht="18" customHeight="1" hidden="1">
      <c r="A1121" s="297" t="s">
        <v>555</v>
      </c>
      <c r="B1121" s="56"/>
      <c r="C1121" s="37" t="s">
        <v>1163</v>
      </c>
      <c r="D1121" s="37" t="s">
        <v>1142</v>
      </c>
      <c r="E1121" s="37" t="s">
        <v>872</v>
      </c>
      <c r="F1121" s="29" t="s">
        <v>556</v>
      </c>
      <c r="G1121" s="26"/>
      <c r="H1121" s="26">
        <v>40.9</v>
      </c>
      <c r="I1121" s="26" t="e">
        <f t="shared" si="33"/>
        <v>#DIV/0!</v>
      </c>
    </row>
    <row r="1122" spans="1:9" ht="63.75" customHeight="1">
      <c r="A1122" s="297" t="s">
        <v>513</v>
      </c>
      <c r="B1122" s="56"/>
      <c r="C1122" s="37" t="s">
        <v>1163</v>
      </c>
      <c r="D1122" s="37" t="s">
        <v>1142</v>
      </c>
      <c r="E1122" s="37" t="s">
        <v>537</v>
      </c>
      <c r="F1122" s="29"/>
      <c r="G1122" s="26">
        <f>SUM(G1123)</f>
        <v>33.2</v>
      </c>
      <c r="H1122" s="26">
        <f>SUM(H1123)</f>
        <v>12.8</v>
      </c>
      <c r="I1122" s="26">
        <f t="shared" si="33"/>
        <v>38.554216867469876</v>
      </c>
    </row>
    <row r="1123" spans="1:9" ht="19.5" customHeight="1">
      <c r="A1123" s="297" t="s">
        <v>494</v>
      </c>
      <c r="B1123" s="56"/>
      <c r="C1123" s="37" t="s">
        <v>1163</v>
      </c>
      <c r="D1123" s="37" t="s">
        <v>1142</v>
      </c>
      <c r="E1123" s="37" t="s">
        <v>537</v>
      </c>
      <c r="F1123" s="29" t="s">
        <v>142</v>
      </c>
      <c r="G1123" s="26">
        <v>33.2</v>
      </c>
      <c r="H1123" s="26">
        <v>12.8</v>
      </c>
      <c r="I1123" s="26">
        <f t="shared" si="33"/>
        <v>38.554216867469876</v>
      </c>
    </row>
    <row r="1124" spans="1:9" ht="84" customHeight="1">
      <c r="A1124" s="297" t="s">
        <v>805</v>
      </c>
      <c r="B1124" s="56"/>
      <c r="C1124" s="37" t="s">
        <v>1163</v>
      </c>
      <c r="D1124" s="37" t="s">
        <v>1142</v>
      </c>
      <c r="E1124" s="37" t="s">
        <v>539</v>
      </c>
      <c r="F1124" s="29"/>
      <c r="G1124" s="26">
        <f>SUM(G1125)</f>
        <v>28786.7</v>
      </c>
      <c r="H1124" s="26">
        <f>SUM(H1125)</f>
        <v>13862.6</v>
      </c>
      <c r="I1124" s="26">
        <f t="shared" si="33"/>
        <v>48.15626660923273</v>
      </c>
    </row>
    <row r="1125" spans="1:9" ht="19.5" customHeight="1">
      <c r="A1125" s="297" t="s">
        <v>494</v>
      </c>
      <c r="B1125" s="56"/>
      <c r="C1125" s="37" t="s">
        <v>1163</v>
      </c>
      <c r="D1125" s="37" t="s">
        <v>1142</v>
      </c>
      <c r="E1125" s="37" t="s">
        <v>539</v>
      </c>
      <c r="F1125" s="29" t="s">
        <v>142</v>
      </c>
      <c r="G1125" s="26">
        <v>28786.7</v>
      </c>
      <c r="H1125" s="26">
        <v>13862.6</v>
      </c>
      <c r="I1125" s="26">
        <f t="shared" si="33"/>
        <v>48.15626660923273</v>
      </c>
    </row>
    <row r="1126" spans="1:9" ht="32.25" customHeight="1" hidden="1">
      <c r="A1126" s="297" t="s">
        <v>62</v>
      </c>
      <c r="B1126" s="56"/>
      <c r="C1126" s="37" t="s">
        <v>1163</v>
      </c>
      <c r="D1126" s="37" t="s">
        <v>1142</v>
      </c>
      <c r="E1126" s="37" t="s">
        <v>63</v>
      </c>
      <c r="F1126" s="29"/>
      <c r="G1126" s="26">
        <f aca="true" t="shared" si="35" ref="G1126:H1128">SUM(G1127)</f>
        <v>0</v>
      </c>
      <c r="H1126" s="26">
        <f t="shared" si="35"/>
        <v>0</v>
      </c>
      <c r="I1126" s="26" t="e">
        <f t="shared" si="33"/>
        <v>#DIV/0!</v>
      </c>
    </row>
    <row r="1127" spans="1:9" ht="35.25" customHeight="1" hidden="1">
      <c r="A1127" s="297" t="s">
        <v>574</v>
      </c>
      <c r="B1127" s="56"/>
      <c r="C1127" s="37" t="s">
        <v>1163</v>
      </c>
      <c r="D1127" s="37" t="s">
        <v>1142</v>
      </c>
      <c r="E1127" s="37" t="s">
        <v>64</v>
      </c>
      <c r="F1127" s="29"/>
      <c r="G1127" s="26">
        <f t="shared" si="35"/>
        <v>0</v>
      </c>
      <c r="H1127" s="26">
        <f t="shared" si="35"/>
        <v>0</v>
      </c>
      <c r="I1127" s="26" t="e">
        <f t="shared" si="33"/>
        <v>#DIV/0!</v>
      </c>
    </row>
    <row r="1128" spans="1:9" s="85" customFormat="1" ht="45.75" customHeight="1" hidden="1">
      <c r="A1128" s="297" t="s">
        <v>65</v>
      </c>
      <c r="B1128" s="56"/>
      <c r="C1128" s="37" t="s">
        <v>1163</v>
      </c>
      <c r="D1128" s="37" t="s">
        <v>1142</v>
      </c>
      <c r="E1128" s="37" t="s">
        <v>66</v>
      </c>
      <c r="F1128" s="29"/>
      <c r="G1128" s="26">
        <f t="shared" si="35"/>
        <v>0</v>
      </c>
      <c r="H1128" s="26">
        <f t="shared" si="35"/>
        <v>0</v>
      </c>
      <c r="I1128" s="26" t="e">
        <f t="shared" si="33"/>
        <v>#DIV/0!</v>
      </c>
    </row>
    <row r="1129" spans="1:9" s="104" customFormat="1" ht="25.5" customHeight="1" hidden="1">
      <c r="A1129" s="297" t="s">
        <v>141</v>
      </c>
      <c r="B1129" s="56"/>
      <c r="C1129" s="37" t="s">
        <v>1163</v>
      </c>
      <c r="D1129" s="37" t="s">
        <v>1142</v>
      </c>
      <c r="E1129" s="37" t="s">
        <v>66</v>
      </c>
      <c r="F1129" s="29" t="s">
        <v>142</v>
      </c>
      <c r="G1129" s="26"/>
      <c r="H1129" s="26"/>
      <c r="I1129" s="26" t="e">
        <f t="shared" si="33"/>
        <v>#DIV/0!</v>
      </c>
    </row>
    <row r="1130" spans="1:9" s="104" customFormat="1" ht="27.75" customHeight="1">
      <c r="A1130" s="285" t="s">
        <v>544</v>
      </c>
      <c r="B1130" s="37"/>
      <c r="C1130" s="37" t="s">
        <v>1163</v>
      </c>
      <c r="D1130" s="37" t="s">
        <v>1142</v>
      </c>
      <c r="E1130" s="37" t="s">
        <v>67</v>
      </c>
      <c r="F1130" s="28"/>
      <c r="G1130" s="26">
        <f>SUM(G1131)+G1133</f>
        <v>12418.7</v>
      </c>
      <c r="H1130" s="26">
        <f>SUM(H1131)+H1133</f>
        <v>63936.3</v>
      </c>
      <c r="I1130" s="26">
        <f t="shared" si="33"/>
        <v>514.838912285505</v>
      </c>
    </row>
    <row r="1131" spans="1:9" s="104" customFormat="1" ht="15" hidden="1">
      <c r="A1131" s="287" t="s">
        <v>68</v>
      </c>
      <c r="B1131" s="37"/>
      <c r="C1131" s="37" t="s">
        <v>1163</v>
      </c>
      <c r="D1131" s="37" t="s">
        <v>1142</v>
      </c>
      <c r="E1131" s="37" t="s">
        <v>69</v>
      </c>
      <c r="F1131" s="28"/>
      <c r="G1131" s="26">
        <f>SUM(G1132)</f>
        <v>0</v>
      </c>
      <c r="H1131" s="26">
        <f>SUM(H1132)</f>
        <v>7214.3</v>
      </c>
      <c r="I1131" s="26" t="e">
        <f aca="true" t="shared" si="36" ref="I1131:I1194">SUM(H1131/G1131*100)</f>
        <v>#DIV/0!</v>
      </c>
    </row>
    <row r="1132" spans="1:9" s="104" customFormat="1" ht="25.5" customHeight="1" hidden="1">
      <c r="A1132" s="297" t="s">
        <v>141</v>
      </c>
      <c r="B1132" s="37"/>
      <c r="C1132" s="37" t="s">
        <v>1163</v>
      </c>
      <c r="D1132" s="37" t="s">
        <v>1142</v>
      </c>
      <c r="E1132" s="37" t="s">
        <v>69</v>
      </c>
      <c r="F1132" s="28" t="s">
        <v>142</v>
      </c>
      <c r="G1132" s="26"/>
      <c r="H1132" s="26">
        <v>7214.3</v>
      </c>
      <c r="I1132" s="26" t="e">
        <f t="shared" si="36"/>
        <v>#DIV/0!</v>
      </c>
    </row>
    <row r="1133" spans="1:9" s="97" customFormat="1" ht="46.5" customHeight="1">
      <c r="A1133" s="287" t="s">
        <v>70</v>
      </c>
      <c r="B1133" s="37"/>
      <c r="C1133" s="37" t="s">
        <v>1163</v>
      </c>
      <c r="D1133" s="37" t="s">
        <v>1142</v>
      </c>
      <c r="E1133" s="37" t="s">
        <v>71</v>
      </c>
      <c r="F1133" s="28"/>
      <c r="G1133" s="26">
        <f>SUM(G1134:G1135)</f>
        <v>12418.7</v>
      </c>
      <c r="H1133" s="26">
        <f>SUM(H1135)</f>
        <v>56722</v>
      </c>
      <c r="I1133" s="26">
        <f t="shared" si="36"/>
        <v>456.7466804093826</v>
      </c>
    </row>
    <row r="1134" spans="1:9" ht="15">
      <c r="A1134" s="297" t="s">
        <v>494</v>
      </c>
      <c r="B1134" s="37"/>
      <c r="C1134" s="37" t="s">
        <v>1163</v>
      </c>
      <c r="D1134" s="37" t="s">
        <v>1142</v>
      </c>
      <c r="E1134" s="37" t="s">
        <v>71</v>
      </c>
      <c r="F1134" s="28" t="s">
        <v>142</v>
      </c>
      <c r="G1134" s="26">
        <v>6989.6</v>
      </c>
      <c r="H1134" s="26">
        <f>2981.1-1986.9</f>
        <v>994.1999999999998</v>
      </c>
      <c r="I1134" s="26">
        <f>SUM(H1134/G1134*100)</f>
        <v>14.223989927892866</v>
      </c>
    </row>
    <row r="1135" spans="1:9" s="353" customFormat="1" ht="23.25" customHeight="1">
      <c r="A1135" s="281" t="s">
        <v>316</v>
      </c>
      <c r="B1135" s="351"/>
      <c r="C1135" s="223" t="s">
        <v>1163</v>
      </c>
      <c r="D1135" s="223" t="s">
        <v>1142</v>
      </c>
      <c r="E1135" s="223" t="s">
        <v>71</v>
      </c>
      <c r="F1135" s="350" t="s">
        <v>772</v>
      </c>
      <c r="G1135" s="222">
        <v>5429.1</v>
      </c>
      <c r="H1135" s="352">
        <v>56722</v>
      </c>
      <c r="I1135" s="352">
        <f>SUM(H1135/G1135*100)</f>
        <v>1044.7772190602493</v>
      </c>
    </row>
    <row r="1136" spans="1:9" ht="20.25" customHeight="1">
      <c r="A1136" s="285" t="s">
        <v>1164</v>
      </c>
      <c r="B1136" s="30"/>
      <c r="C1136" s="24" t="s">
        <v>1163</v>
      </c>
      <c r="D1136" s="24" t="s">
        <v>1163</v>
      </c>
      <c r="E1136" s="24"/>
      <c r="F1136" s="25"/>
      <c r="G1136" s="26">
        <f>SUM(G1141+G1150+G1137)</f>
        <v>3800</v>
      </c>
      <c r="H1136" s="26">
        <f>SUM(H1141+H1150+H1137)</f>
        <v>30590.8</v>
      </c>
      <c r="I1136" s="26">
        <f t="shared" si="36"/>
        <v>805.0210526315789</v>
      </c>
    </row>
    <row r="1137" spans="1:9" ht="17.25" customHeight="1" hidden="1">
      <c r="A1137" s="285" t="s">
        <v>660</v>
      </c>
      <c r="B1137" s="23"/>
      <c r="C1137" s="24" t="s">
        <v>1163</v>
      </c>
      <c r="D1137" s="24" t="s">
        <v>1163</v>
      </c>
      <c r="E1137" s="24" t="s">
        <v>662</v>
      </c>
      <c r="F1137" s="25"/>
      <c r="G1137" s="26">
        <f>SUM(G1138)</f>
        <v>0</v>
      </c>
      <c r="H1137" s="26">
        <f>SUM(H1138)</f>
        <v>1335.9</v>
      </c>
      <c r="I1137" s="26" t="e">
        <f t="shared" si="36"/>
        <v>#DIV/0!</v>
      </c>
    </row>
    <row r="1138" spans="1:9" ht="15.75" customHeight="1" hidden="1">
      <c r="A1138" s="285" t="s">
        <v>638</v>
      </c>
      <c r="B1138" s="23"/>
      <c r="C1138" s="24" t="s">
        <v>1163</v>
      </c>
      <c r="D1138" s="24" t="s">
        <v>1163</v>
      </c>
      <c r="E1138" s="24" t="s">
        <v>639</v>
      </c>
      <c r="F1138" s="25"/>
      <c r="G1138" s="26">
        <f>SUM(G1139+G1140)</f>
        <v>0</v>
      </c>
      <c r="H1138" s="26">
        <f>SUM(H1139+H1140)</f>
        <v>1335.9</v>
      </c>
      <c r="I1138" s="26" t="e">
        <f t="shared" si="36"/>
        <v>#DIV/0!</v>
      </c>
    </row>
    <row r="1139" spans="1:9" ht="17.25" customHeight="1" hidden="1">
      <c r="A1139" s="297" t="s">
        <v>141</v>
      </c>
      <c r="B1139" s="36"/>
      <c r="C1139" s="24" t="s">
        <v>1163</v>
      </c>
      <c r="D1139" s="24" t="s">
        <v>1163</v>
      </c>
      <c r="E1139" s="24" t="s">
        <v>639</v>
      </c>
      <c r="F1139" s="28" t="s">
        <v>142</v>
      </c>
      <c r="G1139" s="26"/>
      <c r="H1139" s="26">
        <v>964</v>
      </c>
      <c r="I1139" s="26" t="e">
        <f t="shared" si="36"/>
        <v>#DIV/0!</v>
      </c>
    </row>
    <row r="1140" spans="1:9" ht="17.25" customHeight="1" hidden="1">
      <c r="A1140" s="297" t="s">
        <v>74</v>
      </c>
      <c r="B1140" s="36"/>
      <c r="C1140" s="24" t="s">
        <v>1163</v>
      </c>
      <c r="D1140" s="24" t="s">
        <v>1163</v>
      </c>
      <c r="E1140" s="24" t="s">
        <v>639</v>
      </c>
      <c r="F1140" s="28" t="s">
        <v>75</v>
      </c>
      <c r="G1140" s="26"/>
      <c r="H1140" s="26">
        <v>371.9</v>
      </c>
      <c r="I1140" s="26" t="e">
        <f t="shared" si="36"/>
        <v>#DIV/0!</v>
      </c>
    </row>
    <row r="1141" spans="1:9" ht="15" hidden="1">
      <c r="A1141" s="291" t="s">
        <v>76</v>
      </c>
      <c r="B1141" s="36"/>
      <c r="C1141" s="37" t="s">
        <v>1163</v>
      </c>
      <c r="D1141" s="37" t="s">
        <v>1163</v>
      </c>
      <c r="E1141" s="37" t="s">
        <v>77</v>
      </c>
      <c r="F1141" s="28"/>
      <c r="G1141" s="26">
        <f>SUM(G1142+G1148+G1146)</f>
        <v>0</v>
      </c>
      <c r="H1141" s="26">
        <f>SUM(H1142+H1148+H1146)</f>
        <v>1812.7999999999997</v>
      </c>
      <c r="I1141" s="26" t="e">
        <f t="shared" si="36"/>
        <v>#DIV/0!</v>
      </c>
    </row>
    <row r="1142" spans="1:9" ht="20.25" customHeight="1" hidden="1">
      <c r="A1142" s="291" t="s">
        <v>78</v>
      </c>
      <c r="B1142" s="37"/>
      <c r="C1142" s="37" t="s">
        <v>1163</v>
      </c>
      <c r="D1142" s="37" t="s">
        <v>1163</v>
      </c>
      <c r="E1142" s="37" t="s">
        <v>79</v>
      </c>
      <c r="F1142" s="28"/>
      <c r="G1142" s="26">
        <f>SUM(G1143+G1144)</f>
        <v>0</v>
      </c>
      <c r="H1142" s="26">
        <f>SUM(H1143+H1144)</f>
        <v>341.9</v>
      </c>
      <c r="I1142" s="26" t="e">
        <f t="shared" si="36"/>
        <v>#DIV/0!</v>
      </c>
    </row>
    <row r="1143" spans="1:9" ht="18.75" customHeight="1" hidden="1">
      <c r="A1143" s="297" t="s">
        <v>141</v>
      </c>
      <c r="B1143" s="36"/>
      <c r="C1143" s="37" t="s">
        <v>1163</v>
      </c>
      <c r="D1143" s="37" t="s">
        <v>1163</v>
      </c>
      <c r="E1143" s="37" t="s">
        <v>79</v>
      </c>
      <c r="F1143" s="28" t="s">
        <v>142</v>
      </c>
      <c r="G1143" s="26"/>
      <c r="H1143" s="26">
        <v>341.9</v>
      </c>
      <c r="I1143" s="26" t="e">
        <f t="shared" si="36"/>
        <v>#DIV/0!</v>
      </c>
    </row>
    <row r="1144" spans="1:9" ht="15" hidden="1">
      <c r="A1144" s="285" t="s">
        <v>139</v>
      </c>
      <c r="B1144" s="36"/>
      <c r="C1144" s="37" t="s">
        <v>1163</v>
      </c>
      <c r="D1144" s="37" t="s">
        <v>1163</v>
      </c>
      <c r="E1144" s="37" t="s">
        <v>80</v>
      </c>
      <c r="F1144" s="28"/>
      <c r="G1144" s="26">
        <f>SUM(G1145)</f>
        <v>0</v>
      </c>
      <c r="H1144" s="26">
        <f>SUM(H1145)</f>
        <v>0</v>
      </c>
      <c r="I1144" s="26" t="e">
        <f t="shared" si="36"/>
        <v>#DIV/0!</v>
      </c>
    </row>
    <row r="1145" spans="1:9" ht="15" hidden="1">
      <c r="A1145" s="297" t="s">
        <v>141</v>
      </c>
      <c r="B1145" s="36"/>
      <c r="C1145" s="37" t="s">
        <v>1163</v>
      </c>
      <c r="D1145" s="37" t="s">
        <v>1163</v>
      </c>
      <c r="E1145" s="37" t="s">
        <v>80</v>
      </c>
      <c r="F1145" s="28" t="s">
        <v>142</v>
      </c>
      <c r="G1145" s="26"/>
      <c r="H1145" s="26"/>
      <c r="I1145" s="26" t="e">
        <f t="shared" si="36"/>
        <v>#DIV/0!</v>
      </c>
    </row>
    <row r="1146" spans="1:9" ht="55.5" customHeight="1" hidden="1">
      <c r="A1146" s="297" t="s">
        <v>81</v>
      </c>
      <c r="B1146" s="36"/>
      <c r="C1146" s="37" t="s">
        <v>1163</v>
      </c>
      <c r="D1146" s="37" t="s">
        <v>1163</v>
      </c>
      <c r="E1146" s="37" t="s">
        <v>82</v>
      </c>
      <c r="F1146" s="28"/>
      <c r="G1146" s="26">
        <f>SUM(G1147)</f>
        <v>0</v>
      </c>
      <c r="H1146" s="26">
        <f>SUM(H1147)</f>
        <v>444.6</v>
      </c>
      <c r="I1146" s="26" t="e">
        <f t="shared" si="36"/>
        <v>#DIV/0!</v>
      </c>
    </row>
    <row r="1147" spans="1:9" ht="24" customHeight="1" hidden="1">
      <c r="A1147" s="297" t="s">
        <v>141</v>
      </c>
      <c r="B1147" s="36"/>
      <c r="C1147" s="37" t="s">
        <v>1163</v>
      </c>
      <c r="D1147" s="37" t="s">
        <v>1163</v>
      </c>
      <c r="E1147" s="37" t="s">
        <v>82</v>
      </c>
      <c r="F1147" s="28" t="s">
        <v>142</v>
      </c>
      <c r="G1147" s="26"/>
      <c r="H1147" s="26">
        <v>444.6</v>
      </c>
      <c r="I1147" s="26" t="e">
        <f t="shared" si="36"/>
        <v>#DIV/0!</v>
      </c>
    </row>
    <row r="1148" spans="1:9" ht="15" hidden="1">
      <c r="A1148" s="285" t="s">
        <v>139</v>
      </c>
      <c r="B1148" s="36"/>
      <c r="C1148" s="37" t="s">
        <v>1163</v>
      </c>
      <c r="D1148" s="37" t="s">
        <v>1163</v>
      </c>
      <c r="E1148" s="37" t="s">
        <v>83</v>
      </c>
      <c r="F1148" s="28"/>
      <c r="G1148" s="26">
        <f>SUM(G1149)</f>
        <v>0</v>
      </c>
      <c r="H1148" s="26">
        <f>SUM(H1149)</f>
        <v>1026.3</v>
      </c>
      <c r="I1148" s="26" t="e">
        <f t="shared" si="36"/>
        <v>#DIV/0!</v>
      </c>
    </row>
    <row r="1149" spans="1:9" ht="18" customHeight="1" hidden="1">
      <c r="A1149" s="297" t="s">
        <v>141</v>
      </c>
      <c r="B1149" s="36"/>
      <c r="C1149" s="37" t="s">
        <v>1163</v>
      </c>
      <c r="D1149" s="37" t="s">
        <v>1163</v>
      </c>
      <c r="E1149" s="37" t="s">
        <v>83</v>
      </c>
      <c r="F1149" s="28" t="s">
        <v>142</v>
      </c>
      <c r="G1149" s="26"/>
      <c r="H1149" s="26">
        <v>1026.3</v>
      </c>
      <c r="I1149" s="26" t="e">
        <f t="shared" si="36"/>
        <v>#DIV/0!</v>
      </c>
    </row>
    <row r="1150" spans="1:9" ht="15">
      <c r="A1150" s="287" t="s">
        <v>84</v>
      </c>
      <c r="B1150" s="30"/>
      <c r="C1150" s="24" t="s">
        <v>1163</v>
      </c>
      <c r="D1150" s="24" t="s">
        <v>1163</v>
      </c>
      <c r="E1150" s="24" t="s">
        <v>1166</v>
      </c>
      <c r="F1150" s="25"/>
      <c r="G1150" s="26">
        <f>SUM(G1152+G1154+G1156)</f>
        <v>3800</v>
      </c>
      <c r="H1150" s="26">
        <f>SUM(H1152+H1154+H1156)</f>
        <v>27442.1</v>
      </c>
      <c r="I1150" s="26">
        <f t="shared" si="36"/>
        <v>722.1605263157894</v>
      </c>
    </row>
    <row r="1151" spans="1:9" ht="28.5">
      <c r="A1151" s="302" t="s">
        <v>787</v>
      </c>
      <c r="B1151" s="306"/>
      <c r="C1151" s="37" t="s">
        <v>1163</v>
      </c>
      <c r="D1151" s="37" t="s">
        <v>1163</v>
      </c>
      <c r="E1151" s="37" t="s">
        <v>788</v>
      </c>
      <c r="F1151" s="28"/>
      <c r="G1151" s="26">
        <f>SUM(G1152)</f>
        <v>3800</v>
      </c>
      <c r="H1151" s="26">
        <f>SUM(H1152)</f>
        <v>2757.3</v>
      </c>
      <c r="I1151" s="26">
        <f t="shared" si="36"/>
        <v>72.56052631578947</v>
      </c>
    </row>
    <row r="1152" spans="1:9" ht="55.5" customHeight="1">
      <c r="A1152" s="302" t="s">
        <v>789</v>
      </c>
      <c r="B1152" s="306"/>
      <c r="C1152" s="37" t="s">
        <v>1163</v>
      </c>
      <c r="D1152" s="37" t="s">
        <v>1163</v>
      </c>
      <c r="E1152" s="37" t="s">
        <v>790</v>
      </c>
      <c r="F1152" s="28"/>
      <c r="G1152" s="26">
        <f>SUM(G1153)</f>
        <v>3800</v>
      </c>
      <c r="H1152" s="26">
        <v>2757.3</v>
      </c>
      <c r="I1152" s="26">
        <f t="shared" si="36"/>
        <v>72.56052631578947</v>
      </c>
    </row>
    <row r="1153" spans="1:9" ht="22.5" customHeight="1">
      <c r="A1153" s="297" t="s">
        <v>494</v>
      </c>
      <c r="B1153" s="306"/>
      <c r="C1153" s="37" t="s">
        <v>1163</v>
      </c>
      <c r="D1153" s="37" t="s">
        <v>1163</v>
      </c>
      <c r="E1153" s="37" t="s">
        <v>790</v>
      </c>
      <c r="F1153" s="28" t="s">
        <v>142</v>
      </c>
      <c r="G1153" s="26">
        <v>3800</v>
      </c>
      <c r="H1153" s="26">
        <f>SUM(H1154)</f>
        <v>6986.3</v>
      </c>
      <c r="I1153" s="26">
        <f t="shared" si="36"/>
        <v>183.85</v>
      </c>
    </row>
    <row r="1154" spans="1:9" ht="21" customHeight="1" hidden="1">
      <c r="A1154" s="297" t="s">
        <v>852</v>
      </c>
      <c r="B1154" s="56"/>
      <c r="C1154" s="24" t="s">
        <v>1163</v>
      </c>
      <c r="D1154" s="24" t="s">
        <v>1163</v>
      </c>
      <c r="E1154" s="37" t="s">
        <v>87</v>
      </c>
      <c r="F1154" s="29" t="s">
        <v>853</v>
      </c>
      <c r="G1154" s="26"/>
      <c r="H1154" s="26">
        <v>6986.3</v>
      </c>
      <c r="I1154" s="26" t="e">
        <f t="shared" si="36"/>
        <v>#DIV/0!</v>
      </c>
    </row>
    <row r="1155" spans="1:9" ht="60.75" customHeight="1" hidden="1">
      <c r="A1155" s="297" t="s">
        <v>88</v>
      </c>
      <c r="B1155" s="30"/>
      <c r="C1155" s="37" t="s">
        <v>1163</v>
      </c>
      <c r="D1155" s="24" t="s">
        <v>1163</v>
      </c>
      <c r="E1155" s="37" t="s">
        <v>89</v>
      </c>
      <c r="F1155" s="25"/>
      <c r="G1155" s="26">
        <f>SUM(G1156)</f>
        <v>0</v>
      </c>
      <c r="H1155" s="26">
        <f>SUM(H1156)</f>
        <v>17698.5</v>
      </c>
      <c r="I1155" s="26" t="e">
        <f t="shared" si="36"/>
        <v>#DIV/0!</v>
      </c>
    </row>
    <row r="1156" spans="1:9" ht="18" customHeight="1" hidden="1">
      <c r="A1156" s="297" t="s">
        <v>1001</v>
      </c>
      <c r="B1156" s="30"/>
      <c r="C1156" s="37" t="s">
        <v>1163</v>
      </c>
      <c r="D1156" s="24" t="s">
        <v>1163</v>
      </c>
      <c r="E1156" s="37" t="s">
        <v>89</v>
      </c>
      <c r="F1156" s="25" t="s">
        <v>1002</v>
      </c>
      <c r="G1156" s="26"/>
      <c r="H1156" s="26">
        <v>17698.5</v>
      </c>
      <c r="I1156" s="26" t="e">
        <f t="shared" si="36"/>
        <v>#DIV/0!</v>
      </c>
    </row>
    <row r="1157" spans="1:9" ht="14.25" customHeight="1" hidden="1">
      <c r="A1157" s="297" t="s">
        <v>96</v>
      </c>
      <c r="B1157" s="30"/>
      <c r="C1157" s="37" t="s">
        <v>1163</v>
      </c>
      <c r="D1157" s="24" t="s">
        <v>1163</v>
      </c>
      <c r="E1157" s="37" t="s">
        <v>95</v>
      </c>
      <c r="F1157" s="25" t="s">
        <v>97</v>
      </c>
      <c r="G1157" s="26"/>
      <c r="H1157" s="26"/>
      <c r="I1157" s="26" t="e">
        <f t="shared" si="36"/>
        <v>#DIV/0!</v>
      </c>
    </row>
    <row r="1158" spans="1:9" ht="15">
      <c r="A1158" s="285" t="s">
        <v>98</v>
      </c>
      <c r="B1158" s="23"/>
      <c r="C1158" s="37" t="s">
        <v>1163</v>
      </c>
      <c r="D1158" s="37" t="s">
        <v>971</v>
      </c>
      <c r="E1158" s="37"/>
      <c r="F1158" s="28"/>
      <c r="G1158" s="26">
        <f>SUM(G1159+G1163+G1170+G1188+G1183)</f>
        <v>49803</v>
      </c>
      <c r="H1158" s="26" t="e">
        <f>SUM(H1159+H1163+H1170+H1188+H1183)</f>
        <v>#REF!</v>
      </c>
      <c r="I1158" s="26" t="e">
        <f t="shared" si="36"/>
        <v>#REF!</v>
      </c>
    </row>
    <row r="1159" spans="1:9" ht="15">
      <c r="A1159" s="296" t="s">
        <v>540</v>
      </c>
      <c r="B1159" s="66"/>
      <c r="C1159" s="37" t="s">
        <v>1163</v>
      </c>
      <c r="D1159" s="37" t="s">
        <v>971</v>
      </c>
      <c r="E1159" s="37" t="s">
        <v>541</v>
      </c>
      <c r="F1159" s="28"/>
      <c r="G1159" s="26">
        <f aca="true" t="shared" si="37" ref="G1159:H1161">SUM(G1160)</f>
        <v>4106.7</v>
      </c>
      <c r="H1159" s="26">
        <f t="shared" si="37"/>
        <v>1869.7</v>
      </c>
      <c r="I1159" s="26">
        <f t="shared" si="36"/>
        <v>45.528039545133566</v>
      </c>
    </row>
    <row r="1160" spans="1:9" ht="15">
      <c r="A1160" s="285" t="s">
        <v>100</v>
      </c>
      <c r="B1160" s="66"/>
      <c r="C1160" s="37" t="s">
        <v>1163</v>
      </c>
      <c r="D1160" s="37" t="s">
        <v>971</v>
      </c>
      <c r="E1160" s="37" t="s">
        <v>927</v>
      </c>
      <c r="F1160" s="28"/>
      <c r="G1160" s="26">
        <f t="shared" si="37"/>
        <v>4106.7</v>
      </c>
      <c r="H1160" s="26">
        <f t="shared" si="37"/>
        <v>1869.7</v>
      </c>
      <c r="I1160" s="26">
        <f t="shared" si="36"/>
        <v>45.528039545133566</v>
      </c>
    </row>
    <row r="1161" spans="1:9" ht="30.75" customHeight="1">
      <c r="A1161" s="297" t="s">
        <v>913</v>
      </c>
      <c r="B1161" s="66"/>
      <c r="C1161" s="37" t="s">
        <v>1163</v>
      </c>
      <c r="D1161" s="37" t="s">
        <v>971</v>
      </c>
      <c r="E1161" s="37" t="s">
        <v>914</v>
      </c>
      <c r="F1161" s="28"/>
      <c r="G1161" s="26">
        <f t="shared" si="37"/>
        <v>4106.7</v>
      </c>
      <c r="H1161" s="26">
        <f t="shared" si="37"/>
        <v>1869.7</v>
      </c>
      <c r="I1161" s="26">
        <f t="shared" si="36"/>
        <v>45.528039545133566</v>
      </c>
    </row>
    <row r="1162" spans="1:9" ht="15">
      <c r="A1162" s="297" t="s">
        <v>494</v>
      </c>
      <c r="B1162" s="66"/>
      <c r="C1162" s="37" t="s">
        <v>1163</v>
      </c>
      <c r="D1162" s="37" t="s">
        <v>971</v>
      </c>
      <c r="E1162" s="37" t="s">
        <v>914</v>
      </c>
      <c r="F1162" s="28" t="s">
        <v>142</v>
      </c>
      <c r="G1162" s="26">
        <v>4106.7</v>
      </c>
      <c r="H1162" s="26">
        <v>1869.7</v>
      </c>
      <c r="I1162" s="26">
        <f t="shared" si="36"/>
        <v>45.528039545133566</v>
      </c>
    </row>
    <row r="1163" spans="1:9" ht="56.25" customHeight="1">
      <c r="A1163" s="287" t="s">
        <v>915</v>
      </c>
      <c r="B1163" s="23"/>
      <c r="C1163" s="37" t="s">
        <v>1163</v>
      </c>
      <c r="D1163" s="37" t="s">
        <v>971</v>
      </c>
      <c r="E1163" s="37" t="s">
        <v>916</v>
      </c>
      <c r="F1163" s="28"/>
      <c r="G1163" s="26">
        <f>SUM(G1164)</f>
        <v>32266.3</v>
      </c>
      <c r="H1163" s="26">
        <f>SUM(H1164)</f>
        <v>17823.6</v>
      </c>
      <c r="I1163" s="26">
        <f t="shared" si="36"/>
        <v>55.23905746862826</v>
      </c>
    </row>
    <row r="1164" spans="1:9" ht="44.25" customHeight="1">
      <c r="A1164" s="285" t="s">
        <v>493</v>
      </c>
      <c r="B1164" s="66"/>
      <c r="C1164" s="37" t="s">
        <v>1163</v>
      </c>
      <c r="D1164" s="37" t="s">
        <v>971</v>
      </c>
      <c r="E1164" s="37" t="s">
        <v>917</v>
      </c>
      <c r="F1164" s="28"/>
      <c r="G1164" s="26">
        <f>SUM(G1165+G1166+G1168)</f>
        <v>32266.3</v>
      </c>
      <c r="H1164" s="26">
        <f>SUM(H1165+H1166+H1168)</f>
        <v>17823.6</v>
      </c>
      <c r="I1164" s="26">
        <f t="shared" si="36"/>
        <v>55.23905746862826</v>
      </c>
    </row>
    <row r="1165" spans="1:9" ht="15">
      <c r="A1165" s="297" t="s">
        <v>494</v>
      </c>
      <c r="B1165" s="66"/>
      <c r="C1165" s="37" t="s">
        <v>1163</v>
      </c>
      <c r="D1165" s="37" t="s">
        <v>971</v>
      </c>
      <c r="E1165" s="37" t="s">
        <v>917</v>
      </c>
      <c r="F1165" s="28" t="s">
        <v>142</v>
      </c>
      <c r="G1165" s="26">
        <f>32129.3+17.9</f>
        <v>32147.2</v>
      </c>
      <c r="H1165" s="26">
        <v>17823.6</v>
      </c>
      <c r="I1165" s="26">
        <f t="shared" si="36"/>
        <v>55.443708938881144</v>
      </c>
    </row>
    <row r="1166" spans="1:9" ht="15">
      <c r="A1166" s="297" t="s">
        <v>873</v>
      </c>
      <c r="B1166" s="66"/>
      <c r="C1166" s="37" t="s">
        <v>1163</v>
      </c>
      <c r="D1166" s="37" t="s">
        <v>971</v>
      </c>
      <c r="E1166" s="37" t="s">
        <v>918</v>
      </c>
      <c r="F1166" s="28"/>
      <c r="G1166" s="26">
        <f>SUM(G1167)</f>
        <v>119.1</v>
      </c>
      <c r="H1166" s="26">
        <f>SUM(H1167)</f>
        <v>0</v>
      </c>
      <c r="I1166" s="26">
        <f t="shared" si="36"/>
        <v>0</v>
      </c>
    </row>
    <row r="1167" spans="1:9" ht="18.75" customHeight="1">
      <c r="A1167" s="297" t="s">
        <v>494</v>
      </c>
      <c r="B1167" s="66"/>
      <c r="C1167" s="37" t="s">
        <v>1163</v>
      </c>
      <c r="D1167" s="37" t="s">
        <v>971</v>
      </c>
      <c r="E1167" s="37" t="s">
        <v>918</v>
      </c>
      <c r="F1167" s="28" t="s">
        <v>142</v>
      </c>
      <c r="G1167" s="26">
        <v>119.1</v>
      </c>
      <c r="H1167" s="26"/>
      <c r="I1167" s="26">
        <f t="shared" si="36"/>
        <v>0</v>
      </c>
    </row>
    <row r="1168" spans="1:9" ht="0.75" customHeight="1" hidden="1">
      <c r="A1168" s="285" t="s">
        <v>511</v>
      </c>
      <c r="B1168" s="56"/>
      <c r="C1168" s="37" t="s">
        <v>1163</v>
      </c>
      <c r="D1168" s="37" t="s">
        <v>971</v>
      </c>
      <c r="E1168" s="37" t="s">
        <v>919</v>
      </c>
      <c r="F1168" s="29"/>
      <c r="G1168" s="26">
        <f>SUM(G1169)</f>
        <v>0</v>
      </c>
      <c r="H1168" s="26">
        <f>SUM(H1169)</f>
        <v>0</v>
      </c>
      <c r="I1168" s="26" t="e">
        <f t="shared" si="36"/>
        <v>#DIV/0!</v>
      </c>
    </row>
    <row r="1169" spans="1:9" ht="15.75" hidden="1">
      <c r="A1169" s="297" t="s">
        <v>141</v>
      </c>
      <c r="B1169" s="56"/>
      <c r="C1169" s="37" t="s">
        <v>1163</v>
      </c>
      <c r="D1169" s="37" t="s">
        <v>971</v>
      </c>
      <c r="E1169" s="37" t="s">
        <v>919</v>
      </c>
      <c r="F1169" s="29" t="s">
        <v>142</v>
      </c>
      <c r="G1169" s="26"/>
      <c r="H1169" s="26"/>
      <c r="I1169" s="26" t="e">
        <f t="shared" si="36"/>
        <v>#DIV/0!</v>
      </c>
    </row>
    <row r="1170" spans="1:9" ht="15" customHeight="1" hidden="1">
      <c r="A1170" s="285" t="s">
        <v>990</v>
      </c>
      <c r="B1170" s="56"/>
      <c r="C1170" s="37" t="s">
        <v>1163</v>
      </c>
      <c r="D1170" s="37" t="s">
        <v>971</v>
      </c>
      <c r="E1170" s="37" t="s">
        <v>991</v>
      </c>
      <c r="F1170" s="29"/>
      <c r="G1170" s="26">
        <f>SUM(G1173+G1177+G1181+G1175+G1179+G1171)</f>
        <v>0</v>
      </c>
      <c r="H1170" s="26">
        <f>SUM(H1173+H1177+H1181+H1175+H1179)+H1171</f>
        <v>3.5</v>
      </c>
      <c r="I1170" s="26" t="e">
        <f t="shared" si="36"/>
        <v>#DIV/0!</v>
      </c>
    </row>
    <row r="1171" spans="1:9" ht="62.25" customHeight="1" hidden="1">
      <c r="A1171" s="285" t="s">
        <v>920</v>
      </c>
      <c r="B1171" s="56"/>
      <c r="C1171" s="37" t="s">
        <v>1163</v>
      </c>
      <c r="D1171" s="37" t="s">
        <v>971</v>
      </c>
      <c r="E1171" s="37" t="s">
        <v>921</v>
      </c>
      <c r="F1171" s="29"/>
      <c r="G1171" s="26">
        <f>SUM(G1172)</f>
        <v>0</v>
      </c>
      <c r="H1171" s="26">
        <f>SUM(H1172)</f>
        <v>3.5</v>
      </c>
      <c r="I1171" s="26"/>
    </row>
    <row r="1172" spans="1:9" ht="15" customHeight="1" hidden="1">
      <c r="A1172" s="297" t="s">
        <v>141</v>
      </c>
      <c r="B1172" s="56"/>
      <c r="C1172" s="37" t="s">
        <v>1163</v>
      </c>
      <c r="D1172" s="37" t="s">
        <v>971</v>
      </c>
      <c r="E1172" s="37" t="s">
        <v>921</v>
      </c>
      <c r="F1172" s="29" t="s">
        <v>142</v>
      </c>
      <c r="G1172" s="26"/>
      <c r="H1172" s="26">
        <v>3.5</v>
      </c>
      <c r="I1172" s="26"/>
    </row>
    <row r="1173" spans="1:9" ht="42.75" hidden="1">
      <c r="A1173" s="285" t="s">
        <v>874</v>
      </c>
      <c r="B1173" s="56"/>
      <c r="C1173" s="37" t="s">
        <v>1163</v>
      </c>
      <c r="D1173" s="37" t="s">
        <v>971</v>
      </c>
      <c r="E1173" s="37" t="s">
        <v>875</v>
      </c>
      <c r="F1173" s="29"/>
      <c r="G1173" s="26">
        <f>SUM(G1174)</f>
        <v>0</v>
      </c>
      <c r="H1173" s="26">
        <f>SUM(H1174)</f>
        <v>0</v>
      </c>
      <c r="I1173" s="26" t="e">
        <f t="shared" si="36"/>
        <v>#DIV/0!</v>
      </c>
    </row>
    <row r="1174" spans="1:9" ht="15.75" hidden="1">
      <c r="A1174" s="285" t="s">
        <v>695</v>
      </c>
      <c r="B1174" s="56"/>
      <c r="C1174" s="37" t="s">
        <v>1163</v>
      </c>
      <c r="D1174" s="37" t="s">
        <v>971</v>
      </c>
      <c r="E1174" s="37" t="s">
        <v>875</v>
      </c>
      <c r="F1174" s="29" t="s">
        <v>152</v>
      </c>
      <c r="G1174" s="26"/>
      <c r="H1174" s="26"/>
      <c r="I1174" s="26" t="e">
        <f t="shared" si="36"/>
        <v>#DIV/0!</v>
      </c>
    </row>
    <row r="1175" spans="1:9" ht="57" hidden="1">
      <c r="A1175" s="285" t="s">
        <v>922</v>
      </c>
      <c r="B1175" s="56"/>
      <c r="C1175" s="37" t="s">
        <v>1163</v>
      </c>
      <c r="D1175" s="37" t="s">
        <v>971</v>
      </c>
      <c r="E1175" s="37" t="s">
        <v>923</v>
      </c>
      <c r="F1175" s="29"/>
      <c r="G1175" s="26">
        <f>SUM(G1176)</f>
        <v>0</v>
      </c>
      <c r="H1175" s="26">
        <f>SUM(H1176)</f>
        <v>0</v>
      </c>
      <c r="I1175" s="26" t="e">
        <f t="shared" si="36"/>
        <v>#DIV/0!</v>
      </c>
    </row>
    <row r="1176" spans="1:9" ht="28.5" hidden="1">
      <c r="A1176" s="285" t="s">
        <v>574</v>
      </c>
      <c r="B1176" s="56"/>
      <c r="C1176" s="37" t="s">
        <v>1163</v>
      </c>
      <c r="D1176" s="37" t="s">
        <v>971</v>
      </c>
      <c r="E1176" s="37" t="s">
        <v>923</v>
      </c>
      <c r="F1176" s="29" t="s">
        <v>924</v>
      </c>
      <c r="G1176" s="26"/>
      <c r="H1176" s="26"/>
      <c r="I1176" s="26" t="e">
        <f t="shared" si="36"/>
        <v>#DIV/0!</v>
      </c>
    </row>
    <row r="1177" spans="1:9" ht="42.75" hidden="1">
      <c r="A1177" s="285" t="s">
        <v>563</v>
      </c>
      <c r="B1177" s="56"/>
      <c r="C1177" s="37" t="s">
        <v>1163</v>
      </c>
      <c r="D1177" s="37" t="s">
        <v>971</v>
      </c>
      <c r="E1177" s="37" t="s">
        <v>564</v>
      </c>
      <c r="F1177" s="29"/>
      <c r="G1177" s="26">
        <f>SUM(G1178)</f>
        <v>0</v>
      </c>
      <c r="H1177" s="26">
        <f>SUM(H1178)</f>
        <v>0</v>
      </c>
      <c r="I1177" s="26" t="e">
        <f t="shared" si="36"/>
        <v>#DIV/0!</v>
      </c>
    </row>
    <row r="1178" spans="1:9" ht="15.75" hidden="1">
      <c r="A1178" s="297" t="s">
        <v>141</v>
      </c>
      <c r="B1178" s="56"/>
      <c r="C1178" s="37" t="s">
        <v>1163</v>
      </c>
      <c r="D1178" s="37" t="s">
        <v>971</v>
      </c>
      <c r="E1178" s="37" t="s">
        <v>564</v>
      </c>
      <c r="F1178" s="29" t="s">
        <v>142</v>
      </c>
      <c r="G1178" s="26"/>
      <c r="H1178" s="26"/>
      <c r="I1178" s="26" t="e">
        <f t="shared" si="36"/>
        <v>#DIV/0!</v>
      </c>
    </row>
    <row r="1179" spans="1:9" ht="28.5" hidden="1">
      <c r="A1179" s="297" t="s">
        <v>925</v>
      </c>
      <c r="B1179" s="56"/>
      <c r="C1179" s="37" t="s">
        <v>1163</v>
      </c>
      <c r="D1179" s="37" t="s">
        <v>971</v>
      </c>
      <c r="E1179" s="37" t="s">
        <v>926</v>
      </c>
      <c r="F1179" s="29"/>
      <c r="G1179" s="26">
        <f>SUM(G1180)</f>
        <v>0</v>
      </c>
      <c r="H1179" s="26">
        <f>SUM(H1180)</f>
        <v>0</v>
      </c>
      <c r="I1179" s="26" t="e">
        <f t="shared" si="36"/>
        <v>#DIV/0!</v>
      </c>
    </row>
    <row r="1180" spans="1:9" ht="10.5" customHeight="1" hidden="1">
      <c r="A1180" s="285" t="s">
        <v>574</v>
      </c>
      <c r="B1180" s="56"/>
      <c r="C1180" s="37" t="s">
        <v>1163</v>
      </c>
      <c r="D1180" s="37" t="s">
        <v>971</v>
      </c>
      <c r="E1180" s="37" t="s">
        <v>926</v>
      </c>
      <c r="F1180" s="29" t="s">
        <v>924</v>
      </c>
      <c r="G1180" s="26"/>
      <c r="H1180" s="26"/>
      <c r="I1180" s="26" t="e">
        <f t="shared" si="36"/>
        <v>#DIV/0!</v>
      </c>
    </row>
    <row r="1181" spans="1:9" ht="18" customHeight="1" hidden="1">
      <c r="A1181" s="285" t="s">
        <v>212</v>
      </c>
      <c r="B1181" s="56"/>
      <c r="C1181" s="37" t="s">
        <v>1163</v>
      </c>
      <c r="D1181" s="37" t="s">
        <v>971</v>
      </c>
      <c r="E1181" s="37" t="s">
        <v>213</v>
      </c>
      <c r="F1181" s="29"/>
      <c r="G1181" s="26">
        <f>SUM(G1184)</f>
        <v>0</v>
      </c>
      <c r="H1181" s="26">
        <f>SUM(H1182)</f>
        <v>0</v>
      </c>
      <c r="I1181" s="26" t="e">
        <f t="shared" si="36"/>
        <v>#DIV/0!</v>
      </c>
    </row>
    <row r="1182" spans="1:9" ht="12.75" customHeight="1" hidden="1">
      <c r="A1182" s="285" t="s">
        <v>214</v>
      </c>
      <c r="B1182" s="56"/>
      <c r="C1182" s="37" t="s">
        <v>1163</v>
      </c>
      <c r="D1182" s="37" t="s">
        <v>971</v>
      </c>
      <c r="E1182" s="37" t="s">
        <v>213</v>
      </c>
      <c r="F1182" s="29" t="s">
        <v>556</v>
      </c>
      <c r="G1182" s="26"/>
      <c r="H1182" s="26"/>
      <c r="I1182" s="26" t="e">
        <f t="shared" si="36"/>
        <v>#DIV/0!</v>
      </c>
    </row>
    <row r="1183" spans="1:9" ht="15.75" hidden="1">
      <c r="A1183" s="285" t="s">
        <v>990</v>
      </c>
      <c r="B1183" s="56"/>
      <c r="C1183" s="37" t="s">
        <v>1163</v>
      </c>
      <c r="D1183" s="37" t="s">
        <v>971</v>
      </c>
      <c r="E1183" s="37" t="s">
        <v>991</v>
      </c>
      <c r="F1183" s="29"/>
      <c r="G1183" s="26"/>
      <c r="H1183" s="26">
        <f>SUM(H1184)</f>
        <v>568.5</v>
      </c>
      <c r="I1183" s="26" t="e">
        <f t="shared" si="36"/>
        <v>#DIV/0!</v>
      </c>
    </row>
    <row r="1184" spans="1:9" ht="45" customHeight="1" hidden="1">
      <c r="A1184" s="285" t="s">
        <v>876</v>
      </c>
      <c r="B1184" s="56"/>
      <c r="C1184" s="37" t="s">
        <v>1163</v>
      </c>
      <c r="D1184" s="37" t="s">
        <v>971</v>
      </c>
      <c r="E1184" s="37" t="s">
        <v>213</v>
      </c>
      <c r="F1184" s="29"/>
      <c r="G1184" s="26">
        <f>SUM(G1186+G1185)</f>
        <v>0</v>
      </c>
      <c r="H1184" s="26">
        <f>SUM(H1186)</f>
        <v>568.5</v>
      </c>
      <c r="I1184" s="26" t="e">
        <f t="shared" si="36"/>
        <v>#DIV/0!</v>
      </c>
    </row>
    <row r="1185" spans="1:9" ht="30.75" customHeight="1" hidden="1">
      <c r="A1185" s="297" t="s">
        <v>966</v>
      </c>
      <c r="B1185" s="56"/>
      <c r="C1185" s="37" t="s">
        <v>1163</v>
      </c>
      <c r="D1185" s="37" t="s">
        <v>971</v>
      </c>
      <c r="E1185" s="37" t="s">
        <v>213</v>
      </c>
      <c r="F1185" s="29" t="s">
        <v>556</v>
      </c>
      <c r="G1185" s="26"/>
      <c r="H1185" s="26"/>
      <c r="I1185" s="26"/>
    </row>
    <row r="1186" spans="1:9" ht="89.25" customHeight="1" hidden="1">
      <c r="A1186" s="303" t="s">
        <v>215</v>
      </c>
      <c r="B1186" s="56"/>
      <c r="C1186" s="37" t="s">
        <v>1163</v>
      </c>
      <c r="D1186" s="37" t="s">
        <v>971</v>
      </c>
      <c r="E1186" s="37" t="s">
        <v>216</v>
      </c>
      <c r="F1186" s="29"/>
      <c r="G1186" s="26">
        <f>SUM(G1187)</f>
        <v>0</v>
      </c>
      <c r="H1186" s="26">
        <f>SUM(H1187)</f>
        <v>568.5</v>
      </c>
      <c r="I1186" s="26" t="e">
        <f t="shared" si="36"/>
        <v>#DIV/0!</v>
      </c>
    </row>
    <row r="1187" spans="1:9" ht="15.75" hidden="1">
      <c r="A1187" s="297" t="s">
        <v>141</v>
      </c>
      <c r="B1187" s="56"/>
      <c r="C1187" s="37" t="s">
        <v>1163</v>
      </c>
      <c r="D1187" s="37" t="s">
        <v>971</v>
      </c>
      <c r="E1187" s="37" t="s">
        <v>216</v>
      </c>
      <c r="F1187" s="29" t="s">
        <v>142</v>
      </c>
      <c r="G1187" s="26"/>
      <c r="H1187" s="26">
        <v>568.5</v>
      </c>
      <c r="I1187" s="26" t="e">
        <f t="shared" si="36"/>
        <v>#DIV/0!</v>
      </c>
    </row>
    <row r="1188" spans="1:9" ht="21" customHeight="1">
      <c r="A1188" s="297" t="s">
        <v>1186</v>
      </c>
      <c r="B1188" s="101"/>
      <c r="C1188" s="37" t="s">
        <v>1163</v>
      </c>
      <c r="D1188" s="37" t="s">
        <v>971</v>
      </c>
      <c r="E1188" s="37" t="s">
        <v>1187</v>
      </c>
      <c r="F1188" s="29"/>
      <c r="G1188" s="26">
        <f>SUM(G1191,G1194,G1197)</f>
        <v>13430</v>
      </c>
      <c r="H1188" s="26" t="e">
        <f>SUM(#REF!)</f>
        <v>#REF!</v>
      </c>
      <c r="I1188" s="26" t="e">
        <f t="shared" si="36"/>
        <v>#REF!</v>
      </c>
    </row>
    <row r="1189" spans="1:9" ht="60" customHeight="1" hidden="1">
      <c r="A1189" s="297" t="s">
        <v>964</v>
      </c>
      <c r="B1189" s="101"/>
      <c r="C1189" s="37" t="s">
        <v>967</v>
      </c>
      <c r="D1189" s="37" t="s">
        <v>971</v>
      </c>
      <c r="E1189" s="37" t="s">
        <v>965</v>
      </c>
      <c r="F1189" s="29" t="s">
        <v>75</v>
      </c>
      <c r="G1189" s="26"/>
      <c r="H1189" s="26"/>
      <c r="I1189" s="26"/>
    </row>
    <row r="1190" spans="1:9" ht="46.5" customHeight="1" hidden="1">
      <c r="A1190" s="342" t="s">
        <v>607</v>
      </c>
      <c r="B1190" s="101"/>
      <c r="C1190" s="37" t="s">
        <v>1163</v>
      </c>
      <c r="D1190" s="37" t="s">
        <v>971</v>
      </c>
      <c r="E1190" s="37" t="s">
        <v>608</v>
      </c>
      <c r="F1190" s="29" t="s">
        <v>75</v>
      </c>
      <c r="G1190" s="26"/>
      <c r="H1190" s="26">
        <v>179.9</v>
      </c>
      <c r="I1190" s="26" t="e">
        <f t="shared" si="36"/>
        <v>#DIV/0!</v>
      </c>
    </row>
    <row r="1191" spans="1:9" ht="17.25" customHeight="1">
      <c r="A1191" s="342" t="s">
        <v>609</v>
      </c>
      <c r="B1191" s="23"/>
      <c r="C1191" s="37" t="s">
        <v>1163</v>
      </c>
      <c r="D1191" s="37" t="s">
        <v>971</v>
      </c>
      <c r="E1191" s="37" t="s">
        <v>610</v>
      </c>
      <c r="F1191" s="29"/>
      <c r="G1191" s="54">
        <f>SUM(G1192)+G1193</f>
        <v>3300</v>
      </c>
      <c r="H1191" s="54">
        <v>14959.3</v>
      </c>
      <c r="I1191" s="26">
        <f t="shared" si="36"/>
        <v>453.31212121212116</v>
      </c>
    </row>
    <row r="1192" spans="1:9" ht="17.25" customHeight="1">
      <c r="A1192" s="297" t="s">
        <v>74</v>
      </c>
      <c r="B1192" s="23"/>
      <c r="C1192" s="37" t="s">
        <v>1163</v>
      </c>
      <c r="D1192" s="37" t="s">
        <v>971</v>
      </c>
      <c r="E1192" s="37" t="s">
        <v>610</v>
      </c>
      <c r="F1192" s="29" t="s">
        <v>75</v>
      </c>
      <c r="G1192" s="54">
        <v>1630</v>
      </c>
      <c r="H1192" s="54"/>
      <c r="I1192" s="26"/>
    </row>
    <row r="1193" spans="1:9" ht="31.5" customHeight="1">
      <c r="A1193" s="291" t="s">
        <v>316</v>
      </c>
      <c r="B1193" s="56"/>
      <c r="C1193" s="37" t="s">
        <v>1163</v>
      </c>
      <c r="D1193" s="37" t="s">
        <v>971</v>
      </c>
      <c r="E1193" s="37" t="s">
        <v>610</v>
      </c>
      <c r="F1193" s="29" t="s">
        <v>772</v>
      </c>
      <c r="G1193" s="26">
        <v>1670</v>
      </c>
      <c r="H1193" s="54"/>
      <c r="I1193" s="26"/>
    </row>
    <row r="1194" spans="1:9" ht="59.25" customHeight="1">
      <c r="A1194" s="342" t="s">
        <v>611</v>
      </c>
      <c r="B1194" s="23"/>
      <c r="C1194" s="37" t="s">
        <v>1163</v>
      </c>
      <c r="D1194" s="37" t="s">
        <v>971</v>
      </c>
      <c r="E1194" s="37" t="s">
        <v>612</v>
      </c>
      <c r="F1194" s="29"/>
      <c r="G1194" s="54">
        <f>SUM(G1195:G1196)</f>
        <v>7500</v>
      </c>
      <c r="H1194" s="54">
        <v>2979.3</v>
      </c>
      <c r="I1194" s="26">
        <f t="shared" si="36"/>
        <v>39.724000000000004</v>
      </c>
    </row>
    <row r="1195" spans="1:9" ht="17.25" customHeight="1">
      <c r="A1195" s="297" t="s">
        <v>74</v>
      </c>
      <c r="B1195" s="23"/>
      <c r="C1195" s="37" t="s">
        <v>1163</v>
      </c>
      <c r="D1195" s="37" t="s">
        <v>971</v>
      </c>
      <c r="E1195" s="37" t="s">
        <v>612</v>
      </c>
      <c r="F1195" s="29" t="s">
        <v>75</v>
      </c>
      <c r="G1195" s="54">
        <v>3150</v>
      </c>
      <c r="H1195" s="54"/>
      <c r="I1195" s="26"/>
    </row>
    <row r="1196" spans="1:9" ht="31.5" customHeight="1">
      <c r="A1196" s="291" t="s">
        <v>316</v>
      </c>
      <c r="B1196" s="56"/>
      <c r="C1196" s="37" t="s">
        <v>1163</v>
      </c>
      <c r="D1196" s="37" t="s">
        <v>971</v>
      </c>
      <c r="E1196" s="37" t="s">
        <v>612</v>
      </c>
      <c r="F1196" s="29" t="s">
        <v>772</v>
      </c>
      <c r="G1196" s="26">
        <v>4350</v>
      </c>
      <c r="H1196" s="54"/>
      <c r="I1196" s="26"/>
    </row>
    <row r="1197" spans="1:9" ht="18.75" customHeight="1">
      <c r="A1197" s="342" t="s">
        <v>828</v>
      </c>
      <c r="B1197" s="23"/>
      <c r="C1197" s="37" t="s">
        <v>1163</v>
      </c>
      <c r="D1197" s="37" t="s">
        <v>971</v>
      </c>
      <c r="E1197" s="37" t="s">
        <v>615</v>
      </c>
      <c r="F1197" s="29"/>
      <c r="G1197" s="54">
        <f>SUM(G1198+G1199)</f>
        <v>2630</v>
      </c>
      <c r="H1197" s="54">
        <v>641.1</v>
      </c>
      <c r="I1197" s="26">
        <f>SUM(H1197/G1197*100)</f>
        <v>24.376425855513308</v>
      </c>
    </row>
    <row r="1198" spans="1:9" ht="18.75" customHeight="1">
      <c r="A1198" s="297" t="s">
        <v>74</v>
      </c>
      <c r="B1198" s="23"/>
      <c r="C1198" s="37" t="s">
        <v>1163</v>
      </c>
      <c r="D1198" s="37" t="s">
        <v>971</v>
      </c>
      <c r="E1198" s="37" t="s">
        <v>615</v>
      </c>
      <c r="F1198" s="29" t="s">
        <v>75</v>
      </c>
      <c r="G1198" s="54">
        <v>1668.2</v>
      </c>
      <c r="H1198" s="54"/>
      <c r="I1198" s="26"/>
    </row>
    <row r="1199" spans="1:9" ht="30.75" customHeight="1">
      <c r="A1199" s="297" t="s">
        <v>316</v>
      </c>
      <c r="B1199" s="23"/>
      <c r="C1199" s="37" t="s">
        <v>1163</v>
      </c>
      <c r="D1199" s="37" t="s">
        <v>971</v>
      </c>
      <c r="E1199" s="37" t="s">
        <v>615</v>
      </c>
      <c r="F1199" s="29" t="s">
        <v>772</v>
      </c>
      <c r="G1199" s="54">
        <v>961.8</v>
      </c>
      <c r="H1199" s="54"/>
      <c r="I1199" s="26"/>
    </row>
    <row r="1200" spans="1:9" ht="18" customHeight="1">
      <c r="A1200" s="299" t="s">
        <v>704</v>
      </c>
      <c r="B1200" s="23"/>
      <c r="C1200" s="84" t="s">
        <v>998</v>
      </c>
      <c r="D1200" s="84" t="s">
        <v>705</v>
      </c>
      <c r="E1200" s="37"/>
      <c r="F1200" s="29"/>
      <c r="G1200" s="54">
        <f>SUM(G1205)+G1201</f>
        <v>18374.5</v>
      </c>
      <c r="H1200" s="54">
        <f>SUM(H1205)+H1201</f>
        <v>13626.699999999999</v>
      </c>
      <c r="I1200" s="26">
        <f aca="true" t="shared" si="38" ref="I1200:I1212">SUM(H1200/G1200*100)</f>
        <v>74.16092954910337</v>
      </c>
    </row>
    <row r="1201" spans="1:9" ht="18" customHeight="1">
      <c r="A1201" s="287" t="s">
        <v>1027</v>
      </c>
      <c r="B1201" s="23"/>
      <c r="C1201" s="33" t="s">
        <v>998</v>
      </c>
      <c r="D1201" s="84" t="s">
        <v>1150</v>
      </c>
      <c r="E1201" s="84"/>
      <c r="F1201" s="29"/>
      <c r="G1201" s="54">
        <f aca="true" t="shared" si="39" ref="G1201:H1203">SUM(G1202)</f>
        <v>5044.4</v>
      </c>
      <c r="H1201" s="54">
        <f t="shared" si="39"/>
        <v>2256.4</v>
      </c>
      <c r="I1201" s="26">
        <f t="shared" si="38"/>
        <v>44.73079057965269</v>
      </c>
    </row>
    <row r="1202" spans="1:9" ht="18" customHeight="1">
      <c r="A1202" s="342" t="s">
        <v>1028</v>
      </c>
      <c r="B1202" s="23"/>
      <c r="C1202" s="33" t="s">
        <v>998</v>
      </c>
      <c r="D1202" s="84" t="s">
        <v>1150</v>
      </c>
      <c r="E1202" s="37" t="s">
        <v>1029</v>
      </c>
      <c r="F1202" s="29"/>
      <c r="G1202" s="54">
        <f t="shared" si="39"/>
        <v>5044.4</v>
      </c>
      <c r="H1202" s="54">
        <f t="shared" si="39"/>
        <v>2256.4</v>
      </c>
      <c r="I1202" s="26">
        <f t="shared" si="38"/>
        <v>44.73079057965269</v>
      </c>
    </row>
    <row r="1203" spans="1:9" ht="18" customHeight="1">
      <c r="A1203" s="342" t="s">
        <v>691</v>
      </c>
      <c r="B1203" s="23"/>
      <c r="C1203" s="33" t="s">
        <v>998</v>
      </c>
      <c r="D1203" s="84" t="s">
        <v>1150</v>
      </c>
      <c r="E1203" s="37" t="s">
        <v>692</v>
      </c>
      <c r="F1203" s="29"/>
      <c r="G1203" s="54">
        <f t="shared" si="39"/>
        <v>5044.4</v>
      </c>
      <c r="H1203" s="54">
        <f t="shared" si="39"/>
        <v>2256.4</v>
      </c>
      <c r="I1203" s="26">
        <f t="shared" si="38"/>
        <v>44.73079057965269</v>
      </c>
    </row>
    <row r="1204" spans="1:9" ht="18" customHeight="1">
      <c r="A1204" s="342" t="s">
        <v>960</v>
      </c>
      <c r="B1204" s="23"/>
      <c r="C1204" s="33" t="s">
        <v>998</v>
      </c>
      <c r="D1204" s="84" t="s">
        <v>1150</v>
      </c>
      <c r="E1204" s="37" t="s">
        <v>692</v>
      </c>
      <c r="F1204" s="29" t="s">
        <v>961</v>
      </c>
      <c r="G1204" s="54">
        <v>5044.4</v>
      </c>
      <c r="H1204" s="54">
        <v>2256.4</v>
      </c>
      <c r="I1204" s="26">
        <f t="shared" si="38"/>
        <v>44.73079057965269</v>
      </c>
    </row>
    <row r="1205" spans="1:9" ht="17.25" customHeight="1">
      <c r="A1205" s="287" t="s">
        <v>319</v>
      </c>
      <c r="B1205" s="23"/>
      <c r="C1205" s="33" t="s">
        <v>998</v>
      </c>
      <c r="D1205" s="84" t="s">
        <v>1174</v>
      </c>
      <c r="E1205" s="84"/>
      <c r="F1205" s="29"/>
      <c r="G1205" s="54">
        <f aca="true" t="shared" si="40" ref="G1205:H1208">SUM(G1206)</f>
        <v>13330.1</v>
      </c>
      <c r="H1205" s="54">
        <f t="shared" si="40"/>
        <v>11370.3</v>
      </c>
      <c r="I1205" s="26">
        <f t="shared" si="38"/>
        <v>85.29793474917666</v>
      </c>
    </row>
    <row r="1206" spans="1:9" ht="15">
      <c r="A1206" s="342" t="s">
        <v>544</v>
      </c>
      <c r="B1206" s="23"/>
      <c r="C1206" s="33" t="s">
        <v>998</v>
      </c>
      <c r="D1206" s="84" t="s">
        <v>1174</v>
      </c>
      <c r="E1206" s="37" t="s">
        <v>545</v>
      </c>
      <c r="F1206" s="29"/>
      <c r="G1206" s="54">
        <f t="shared" si="40"/>
        <v>13330.1</v>
      </c>
      <c r="H1206" s="54">
        <f t="shared" si="40"/>
        <v>11370.3</v>
      </c>
      <c r="I1206" s="26">
        <f t="shared" si="38"/>
        <v>85.29793474917666</v>
      </c>
    </row>
    <row r="1207" spans="1:9" ht="42.75">
      <c r="A1207" s="342" t="s">
        <v>323</v>
      </c>
      <c r="B1207" s="23"/>
      <c r="C1207" s="33" t="s">
        <v>998</v>
      </c>
      <c r="D1207" s="84" t="s">
        <v>1174</v>
      </c>
      <c r="E1207" s="37" t="s">
        <v>324</v>
      </c>
      <c r="F1207" s="29"/>
      <c r="G1207" s="54">
        <f t="shared" si="40"/>
        <v>13330.1</v>
      </c>
      <c r="H1207" s="54">
        <f t="shared" si="40"/>
        <v>11370.3</v>
      </c>
      <c r="I1207" s="26">
        <f t="shared" si="38"/>
        <v>85.29793474917666</v>
      </c>
    </row>
    <row r="1208" spans="1:9" ht="57">
      <c r="A1208" s="342" t="s">
        <v>325</v>
      </c>
      <c r="B1208" s="23"/>
      <c r="C1208" s="33" t="s">
        <v>998</v>
      </c>
      <c r="D1208" s="84" t="s">
        <v>1174</v>
      </c>
      <c r="E1208" s="37" t="s">
        <v>326</v>
      </c>
      <c r="F1208" s="29"/>
      <c r="G1208" s="54">
        <f t="shared" si="40"/>
        <v>13330.1</v>
      </c>
      <c r="H1208" s="54">
        <f t="shared" si="40"/>
        <v>11370.3</v>
      </c>
      <c r="I1208" s="26">
        <f t="shared" si="38"/>
        <v>85.29793474917666</v>
      </c>
    </row>
    <row r="1209" spans="1:9" ht="15">
      <c r="A1209" s="342" t="s">
        <v>960</v>
      </c>
      <c r="B1209" s="23"/>
      <c r="C1209" s="33" t="s">
        <v>998</v>
      </c>
      <c r="D1209" s="84" t="s">
        <v>1174</v>
      </c>
      <c r="E1209" s="37" t="s">
        <v>326</v>
      </c>
      <c r="F1209" s="29" t="s">
        <v>961</v>
      </c>
      <c r="G1209" s="54">
        <v>13330.1</v>
      </c>
      <c r="H1209" s="54">
        <v>11370.3</v>
      </c>
      <c r="I1209" s="26">
        <f t="shared" si="38"/>
        <v>85.29793474917666</v>
      </c>
    </row>
    <row r="1210" spans="1:9" ht="15.75">
      <c r="A1210" s="298" t="s">
        <v>824</v>
      </c>
      <c r="B1210" s="96" t="s">
        <v>877</v>
      </c>
      <c r="C1210" s="37"/>
      <c r="D1210" s="37"/>
      <c r="E1210" s="37"/>
      <c r="F1210" s="28"/>
      <c r="G1210" s="161">
        <f>SUM(G1211+G1228)</f>
        <v>97002.7</v>
      </c>
      <c r="H1210" s="161">
        <f>SUM(H1211+H1228)</f>
        <v>200055.59999999998</v>
      </c>
      <c r="I1210" s="45">
        <f t="shared" si="38"/>
        <v>206.2371459763491</v>
      </c>
    </row>
    <row r="1211" spans="1:9" ht="15">
      <c r="A1211" s="285" t="s">
        <v>1162</v>
      </c>
      <c r="B1211" s="23"/>
      <c r="C1211" s="37" t="s">
        <v>1163</v>
      </c>
      <c r="D1211" s="37"/>
      <c r="E1211" s="37"/>
      <c r="F1211" s="28"/>
      <c r="G1211" s="26">
        <f>SUM(G1212)+G1219</f>
        <v>32066.6</v>
      </c>
      <c r="H1211" s="26">
        <f>SUM(H1212)+H1219</f>
        <v>113751.4</v>
      </c>
      <c r="I1211" s="26">
        <f t="shared" si="38"/>
        <v>354.7348331285512</v>
      </c>
    </row>
    <row r="1212" spans="1:9" ht="15.75">
      <c r="A1212" s="285" t="s">
        <v>565</v>
      </c>
      <c r="B1212" s="96"/>
      <c r="C1212" s="37" t="s">
        <v>1163</v>
      </c>
      <c r="D1212" s="37" t="s">
        <v>1142</v>
      </c>
      <c r="E1212" s="37"/>
      <c r="F1212" s="28"/>
      <c r="G1212" s="26">
        <f>SUM(G1213)</f>
        <v>32066.6</v>
      </c>
      <c r="H1212" s="26">
        <f>SUM(H1213)</f>
        <v>113444</v>
      </c>
      <c r="I1212" s="26">
        <f t="shared" si="38"/>
        <v>353.7762032769299</v>
      </c>
    </row>
    <row r="1213" spans="1:9" ht="18" customHeight="1">
      <c r="A1213" s="285" t="s">
        <v>856</v>
      </c>
      <c r="B1213" s="23"/>
      <c r="C1213" s="37" t="s">
        <v>1163</v>
      </c>
      <c r="D1213" s="37" t="s">
        <v>1142</v>
      </c>
      <c r="E1213" s="37" t="s">
        <v>857</v>
      </c>
      <c r="F1213" s="28"/>
      <c r="G1213" s="26">
        <f>SUM(G1214)</f>
        <v>32066.6</v>
      </c>
      <c r="H1213" s="26">
        <f>SUM(H1214)</f>
        <v>113444</v>
      </c>
      <c r="I1213" s="26">
        <f>SUM(H1213/G1213*100)</f>
        <v>353.7762032769299</v>
      </c>
    </row>
    <row r="1214" spans="1:9" ht="28.5" customHeight="1">
      <c r="A1214" s="285" t="s">
        <v>1016</v>
      </c>
      <c r="B1214" s="96"/>
      <c r="C1214" s="37" t="s">
        <v>1163</v>
      </c>
      <c r="D1214" s="37" t="s">
        <v>1142</v>
      </c>
      <c r="E1214" s="37" t="s">
        <v>765</v>
      </c>
      <c r="F1214" s="28"/>
      <c r="G1214" s="26">
        <f>SUM(G1215)+G1217</f>
        <v>32066.6</v>
      </c>
      <c r="H1214" s="26">
        <f>SUM(H1216+H1246+H1244)</f>
        <v>113444</v>
      </c>
      <c r="I1214" s="26">
        <f>SUM(H1214/G1214*100)</f>
        <v>353.7762032769299</v>
      </c>
    </row>
    <row r="1215" spans="1:9" ht="43.5" customHeight="1">
      <c r="A1215" s="285" t="s">
        <v>804</v>
      </c>
      <c r="B1215" s="96"/>
      <c r="C1215" s="37" t="s">
        <v>1163</v>
      </c>
      <c r="D1215" s="37" t="s">
        <v>1142</v>
      </c>
      <c r="E1215" s="37" t="s">
        <v>766</v>
      </c>
      <c r="F1215" s="28"/>
      <c r="G1215" s="26">
        <f>SUM(G1216)</f>
        <v>32040.1</v>
      </c>
      <c r="H1215" s="26"/>
      <c r="I1215" s="26"/>
    </row>
    <row r="1216" spans="1:9" ht="57" customHeight="1">
      <c r="A1216" s="297" t="s">
        <v>315</v>
      </c>
      <c r="B1216" s="56"/>
      <c r="C1216" s="37" t="s">
        <v>1163</v>
      </c>
      <c r="D1216" s="37" t="s">
        <v>1142</v>
      </c>
      <c r="E1216" s="37" t="s">
        <v>766</v>
      </c>
      <c r="F1216" s="29" t="s">
        <v>496</v>
      </c>
      <c r="G1216" s="26">
        <v>32040.1</v>
      </c>
      <c r="H1216" s="26">
        <v>56722</v>
      </c>
      <c r="I1216" s="26">
        <f>SUM(H1216/G1216*100)</f>
        <v>177.03440376278476</v>
      </c>
    </row>
    <row r="1217" spans="1:9" ht="42.75">
      <c r="A1217" s="297" t="s">
        <v>513</v>
      </c>
      <c r="B1217" s="56"/>
      <c r="C1217" s="37" t="s">
        <v>1163</v>
      </c>
      <c r="D1217" s="37" t="s">
        <v>1142</v>
      </c>
      <c r="E1217" s="37" t="s">
        <v>768</v>
      </c>
      <c r="F1217" s="29"/>
      <c r="G1217" s="26">
        <f>SUM(G1218)</f>
        <v>26.5</v>
      </c>
      <c r="H1217" s="26">
        <f>SUM(H1218)</f>
        <v>1305.1</v>
      </c>
      <c r="I1217" s="26">
        <f>SUM(H1217/G1217*100)</f>
        <v>4924.905660377358</v>
      </c>
    </row>
    <row r="1218" spans="1:9" ht="42.75">
      <c r="A1218" s="297" t="s">
        <v>315</v>
      </c>
      <c r="B1218" s="56"/>
      <c r="C1218" s="37" t="s">
        <v>1163</v>
      </c>
      <c r="D1218" s="37" t="s">
        <v>1142</v>
      </c>
      <c r="E1218" s="37" t="s">
        <v>768</v>
      </c>
      <c r="F1218" s="29" t="s">
        <v>496</v>
      </c>
      <c r="G1218" s="26">
        <v>26.5</v>
      </c>
      <c r="H1218" s="26">
        <v>1305.1</v>
      </c>
      <c r="I1218" s="26">
        <f>SUM(H1218/G1218*100)</f>
        <v>4924.905660377358</v>
      </c>
    </row>
    <row r="1219" spans="1:9" ht="20.25" customHeight="1" hidden="1">
      <c r="A1219" s="285" t="s">
        <v>1164</v>
      </c>
      <c r="B1219" s="30"/>
      <c r="C1219" s="24" t="s">
        <v>1163</v>
      </c>
      <c r="D1219" s="24" t="s">
        <v>1163</v>
      </c>
      <c r="E1219" s="37"/>
      <c r="F1219" s="29"/>
      <c r="G1219" s="26">
        <f>SUM(G1225+G1220+G1223)</f>
        <v>0</v>
      </c>
      <c r="H1219" s="26">
        <f>SUM(H1225+H1220+H1223)</f>
        <v>307.4</v>
      </c>
      <c r="I1219" s="26" t="e">
        <f aca="true" t="shared" si="41" ref="I1219:I1282">SUM(H1219/G1219*100)</f>
        <v>#DIV/0!</v>
      </c>
    </row>
    <row r="1220" spans="1:9" ht="28.5" customHeight="1" hidden="1">
      <c r="A1220" s="291" t="s">
        <v>76</v>
      </c>
      <c r="B1220" s="36"/>
      <c r="C1220" s="37" t="s">
        <v>1163</v>
      </c>
      <c r="D1220" s="37" t="s">
        <v>1163</v>
      </c>
      <c r="E1220" s="37" t="s">
        <v>77</v>
      </c>
      <c r="F1220" s="28"/>
      <c r="G1220" s="26">
        <f>SUM(G1221)</f>
        <v>0</v>
      </c>
      <c r="H1220" s="26">
        <f>SUM(H1221)</f>
        <v>0</v>
      </c>
      <c r="I1220" s="26" t="e">
        <f t="shared" si="41"/>
        <v>#DIV/0!</v>
      </c>
    </row>
    <row r="1221" spans="1:9" ht="21" customHeight="1" hidden="1">
      <c r="A1221" s="291" t="s">
        <v>78</v>
      </c>
      <c r="B1221" s="37"/>
      <c r="C1221" s="37" t="s">
        <v>1163</v>
      </c>
      <c r="D1221" s="37" t="s">
        <v>1163</v>
      </c>
      <c r="E1221" s="37" t="s">
        <v>79</v>
      </c>
      <c r="F1221" s="28"/>
      <c r="G1221" s="26">
        <f>SUM(G1222)</f>
        <v>0</v>
      </c>
      <c r="H1221" s="26">
        <f>SUM(H1222)</f>
        <v>0</v>
      </c>
      <c r="I1221" s="26" t="e">
        <f t="shared" si="41"/>
        <v>#DIV/0!</v>
      </c>
    </row>
    <row r="1222" spans="1:9" ht="21" customHeight="1" hidden="1">
      <c r="A1222" s="297" t="s">
        <v>141</v>
      </c>
      <c r="B1222" s="36"/>
      <c r="C1222" s="37" t="s">
        <v>1163</v>
      </c>
      <c r="D1222" s="37" t="s">
        <v>1163</v>
      </c>
      <c r="E1222" s="37" t="s">
        <v>79</v>
      </c>
      <c r="F1222" s="28" t="s">
        <v>142</v>
      </c>
      <c r="G1222" s="26"/>
      <c r="H1222" s="26"/>
      <c r="I1222" s="26" t="e">
        <f t="shared" si="41"/>
        <v>#DIV/0!</v>
      </c>
    </row>
    <row r="1223" spans="1:9" ht="21" customHeight="1" hidden="1">
      <c r="A1223" s="297" t="s">
        <v>638</v>
      </c>
      <c r="B1223" s="36"/>
      <c r="C1223" s="37" t="s">
        <v>1163</v>
      </c>
      <c r="D1223" s="37" t="s">
        <v>1163</v>
      </c>
      <c r="E1223" s="37" t="s">
        <v>639</v>
      </c>
      <c r="F1223" s="28"/>
      <c r="G1223" s="26">
        <f>SUM(G1224)</f>
        <v>0</v>
      </c>
      <c r="H1223" s="26">
        <f>SUM(H1224)</f>
        <v>108.1</v>
      </c>
      <c r="I1223" s="26" t="e">
        <f t="shared" si="41"/>
        <v>#DIV/0!</v>
      </c>
    </row>
    <row r="1224" spans="1:9" ht="21" customHeight="1" hidden="1">
      <c r="A1224" s="297" t="s">
        <v>74</v>
      </c>
      <c r="B1224" s="36"/>
      <c r="C1224" s="37" t="s">
        <v>1163</v>
      </c>
      <c r="D1224" s="37" t="s">
        <v>1163</v>
      </c>
      <c r="E1224" s="37" t="s">
        <v>639</v>
      </c>
      <c r="F1224" s="28" t="s">
        <v>75</v>
      </c>
      <c r="G1224" s="26"/>
      <c r="H1224" s="26">
        <v>108.1</v>
      </c>
      <c r="I1224" s="26" t="e">
        <f t="shared" si="41"/>
        <v>#DIV/0!</v>
      </c>
    </row>
    <row r="1225" spans="1:9" ht="29.25" customHeight="1" hidden="1">
      <c r="A1225" s="287" t="s">
        <v>84</v>
      </c>
      <c r="B1225" s="30"/>
      <c r="C1225" s="24" t="s">
        <v>1163</v>
      </c>
      <c r="D1225" s="24" t="s">
        <v>1163</v>
      </c>
      <c r="E1225" s="24" t="s">
        <v>1166</v>
      </c>
      <c r="F1225" s="25"/>
      <c r="G1225" s="26">
        <f>SUM(G1226)</f>
        <v>0</v>
      </c>
      <c r="H1225" s="26">
        <f>SUM(H1226)</f>
        <v>199.3</v>
      </c>
      <c r="I1225" s="26" t="e">
        <f t="shared" si="41"/>
        <v>#DIV/0!</v>
      </c>
    </row>
    <row r="1226" spans="1:9" ht="23.25" customHeight="1" hidden="1">
      <c r="A1226" s="287" t="s">
        <v>85</v>
      </c>
      <c r="B1226" s="30"/>
      <c r="C1226" s="24" t="s">
        <v>1163</v>
      </c>
      <c r="D1226" s="24" t="s">
        <v>1163</v>
      </c>
      <c r="E1226" s="24" t="s">
        <v>86</v>
      </c>
      <c r="F1226" s="25"/>
      <c r="G1226" s="26">
        <f>SUM(G1227)</f>
        <v>0</v>
      </c>
      <c r="H1226" s="26">
        <f>SUM(H1227)</f>
        <v>199.3</v>
      </c>
      <c r="I1226" s="26" t="e">
        <f t="shared" si="41"/>
        <v>#DIV/0!</v>
      </c>
    </row>
    <row r="1227" spans="1:9" ht="24.75" customHeight="1" hidden="1">
      <c r="A1227" s="297" t="s">
        <v>141</v>
      </c>
      <c r="B1227" s="30"/>
      <c r="C1227" s="24" t="s">
        <v>1163</v>
      </c>
      <c r="D1227" s="24" t="s">
        <v>1163</v>
      </c>
      <c r="E1227" s="24" t="s">
        <v>86</v>
      </c>
      <c r="F1227" s="25" t="s">
        <v>142</v>
      </c>
      <c r="G1227" s="26"/>
      <c r="H1227" s="26">
        <v>199.3</v>
      </c>
      <c r="I1227" s="26" t="e">
        <f t="shared" si="41"/>
        <v>#DIV/0!</v>
      </c>
    </row>
    <row r="1228" spans="1:9" ht="15">
      <c r="A1228" s="285" t="s">
        <v>531</v>
      </c>
      <c r="B1228" s="23"/>
      <c r="C1228" s="37" t="s">
        <v>1176</v>
      </c>
      <c r="D1228" s="37"/>
      <c r="E1228" s="37"/>
      <c r="F1228" s="28"/>
      <c r="G1228" s="26">
        <f>SUM(G1229+G1259)</f>
        <v>64936.1</v>
      </c>
      <c r="H1228" s="26">
        <f>SUM(H1229+H1259)</f>
        <v>86304.2</v>
      </c>
      <c r="I1228" s="26">
        <f t="shared" si="41"/>
        <v>132.9063494727894</v>
      </c>
    </row>
    <row r="1229" spans="1:9" ht="15">
      <c r="A1229" s="285" t="s">
        <v>616</v>
      </c>
      <c r="B1229" s="23"/>
      <c r="C1229" s="37" t="s">
        <v>1176</v>
      </c>
      <c r="D1229" s="37" t="s">
        <v>1140</v>
      </c>
      <c r="E1229" s="37"/>
      <c r="F1229" s="28"/>
      <c r="G1229" s="26">
        <f>SUM(G1247+G1241+G1230+G1255)</f>
        <v>51838.1</v>
      </c>
      <c r="H1229" s="26">
        <f>SUM(H1247+H1241+H1230+H1255)</f>
        <v>81670.4</v>
      </c>
      <c r="I1229" s="26">
        <f t="shared" si="41"/>
        <v>157.54898424132057</v>
      </c>
    </row>
    <row r="1230" spans="1:9" ht="28.5">
      <c r="A1230" s="291" t="s">
        <v>1178</v>
      </c>
      <c r="B1230" s="23"/>
      <c r="C1230" s="37" t="s">
        <v>1176</v>
      </c>
      <c r="D1230" s="37" t="s">
        <v>1140</v>
      </c>
      <c r="E1230" s="37" t="s">
        <v>200</v>
      </c>
      <c r="F1230" s="28"/>
      <c r="G1230" s="26">
        <f>SUM(G1233+G1236)+G1231</f>
        <v>28009.3</v>
      </c>
      <c r="H1230" s="26">
        <f>SUM(H1236)</f>
        <v>14679.5</v>
      </c>
      <c r="I1230" s="26">
        <f t="shared" si="41"/>
        <v>52.40937831363155</v>
      </c>
    </row>
    <row r="1231" spans="1:9" ht="42" customHeight="1">
      <c r="A1231" s="297" t="s">
        <v>631</v>
      </c>
      <c r="B1231" s="56"/>
      <c r="C1231" s="37" t="s">
        <v>1176</v>
      </c>
      <c r="D1231" s="37" t="s">
        <v>1140</v>
      </c>
      <c r="E1231" s="37" t="s">
        <v>769</v>
      </c>
      <c r="F1231" s="29"/>
      <c r="G1231" s="26">
        <f>SUM(G1232)</f>
        <v>389.5</v>
      </c>
      <c r="H1231" s="26">
        <f>SUM(H1232)</f>
        <v>0</v>
      </c>
      <c r="I1231" s="26">
        <f>SUM(H1231/G1231*100)</f>
        <v>0</v>
      </c>
    </row>
    <row r="1232" spans="1:9" ht="15">
      <c r="A1232" s="297" t="s">
        <v>494</v>
      </c>
      <c r="B1232" s="23"/>
      <c r="C1232" s="37" t="s">
        <v>1176</v>
      </c>
      <c r="D1232" s="37" t="s">
        <v>1140</v>
      </c>
      <c r="E1232" s="37" t="s">
        <v>769</v>
      </c>
      <c r="F1232" s="28" t="s">
        <v>142</v>
      </c>
      <c r="G1232" s="26">
        <v>389.5</v>
      </c>
      <c r="H1232" s="26"/>
      <c r="I1232" s="26"/>
    </row>
    <row r="1233" spans="1:9" ht="31.5" customHeight="1">
      <c r="A1233" s="285" t="s">
        <v>807</v>
      </c>
      <c r="B1233" s="96"/>
      <c r="C1233" s="37" t="s">
        <v>1176</v>
      </c>
      <c r="D1233" s="37" t="s">
        <v>1140</v>
      </c>
      <c r="E1233" s="37" t="s">
        <v>753</v>
      </c>
      <c r="F1233" s="28"/>
      <c r="G1233" s="26">
        <f>SUM(G1235)</f>
        <v>16511.6</v>
      </c>
      <c r="H1233" s="26">
        <f>SUM(H1235+H1263+H1261)</f>
        <v>61355.8</v>
      </c>
      <c r="I1233" s="26">
        <f>SUM(H1233/G1233*100)</f>
        <v>371.5920928317062</v>
      </c>
    </row>
    <row r="1234" spans="1:9" ht="32.25" customHeight="1">
      <c r="A1234" s="285" t="s">
        <v>754</v>
      </c>
      <c r="B1234" s="96"/>
      <c r="C1234" s="37" t="s">
        <v>1176</v>
      </c>
      <c r="D1234" s="37" t="s">
        <v>1140</v>
      </c>
      <c r="E1234" s="37" t="s">
        <v>755</v>
      </c>
      <c r="F1234" s="28"/>
      <c r="G1234" s="26">
        <f>SUM(G1235)</f>
        <v>16511.6</v>
      </c>
      <c r="H1234" s="26"/>
      <c r="I1234" s="26"/>
    </row>
    <row r="1235" spans="1:9" ht="51.75" customHeight="1">
      <c r="A1235" s="297" t="s">
        <v>315</v>
      </c>
      <c r="B1235" s="56"/>
      <c r="C1235" s="37" t="s">
        <v>1176</v>
      </c>
      <c r="D1235" s="37" t="s">
        <v>1140</v>
      </c>
      <c r="E1235" s="37" t="s">
        <v>755</v>
      </c>
      <c r="F1235" s="29" t="s">
        <v>496</v>
      </c>
      <c r="G1235" s="26">
        <v>16511.6</v>
      </c>
      <c r="H1235" s="26">
        <v>56722</v>
      </c>
      <c r="I1235" s="26">
        <f>SUM(H1235/G1235*100)</f>
        <v>343.5281862448218</v>
      </c>
    </row>
    <row r="1236" spans="1:9" ht="28.5">
      <c r="A1236" s="285" t="s">
        <v>493</v>
      </c>
      <c r="B1236" s="36"/>
      <c r="C1236" s="37" t="s">
        <v>1176</v>
      </c>
      <c r="D1236" s="37" t="s">
        <v>1140</v>
      </c>
      <c r="E1236" s="37" t="s">
        <v>201</v>
      </c>
      <c r="F1236" s="28"/>
      <c r="G1236" s="26">
        <f>SUM(G1237:G1239)</f>
        <v>11108.2</v>
      </c>
      <c r="H1236" s="26">
        <f>SUM(H1237:H1239)</f>
        <v>14679.5</v>
      </c>
      <c r="I1236" s="26">
        <f t="shared" si="41"/>
        <v>132.15012333231306</v>
      </c>
    </row>
    <row r="1237" spans="1:9" ht="18.75" customHeight="1">
      <c r="A1237" s="297" t="s">
        <v>494</v>
      </c>
      <c r="B1237" s="36"/>
      <c r="C1237" s="37" t="s">
        <v>1176</v>
      </c>
      <c r="D1237" s="37" t="s">
        <v>1140</v>
      </c>
      <c r="E1237" s="37" t="s">
        <v>201</v>
      </c>
      <c r="F1237" s="28" t="s">
        <v>142</v>
      </c>
      <c r="G1237" s="26">
        <v>11108.2</v>
      </c>
      <c r="H1237" s="26">
        <v>14679.5</v>
      </c>
      <c r="I1237" s="26">
        <f t="shared" si="41"/>
        <v>132.15012333231306</v>
      </c>
    </row>
    <row r="1238" spans="1:9" ht="43.5" customHeight="1" hidden="1">
      <c r="A1238" s="297" t="s">
        <v>617</v>
      </c>
      <c r="B1238" s="56"/>
      <c r="C1238" s="37" t="s">
        <v>1176</v>
      </c>
      <c r="D1238" s="37" t="s">
        <v>1140</v>
      </c>
      <c r="E1238" s="37" t="s">
        <v>201</v>
      </c>
      <c r="F1238" s="29" t="s">
        <v>618</v>
      </c>
      <c r="G1238" s="26"/>
      <c r="H1238" s="26"/>
      <c r="I1238" s="26" t="e">
        <f t="shared" si="41"/>
        <v>#DIV/0!</v>
      </c>
    </row>
    <row r="1239" spans="1:9" ht="55.5" customHeight="1" hidden="1">
      <c r="A1239" s="285" t="s">
        <v>511</v>
      </c>
      <c r="B1239" s="30"/>
      <c r="C1239" s="37" t="s">
        <v>1176</v>
      </c>
      <c r="D1239" s="37" t="s">
        <v>1140</v>
      </c>
      <c r="E1239" s="37" t="s">
        <v>619</v>
      </c>
      <c r="F1239" s="29"/>
      <c r="G1239" s="26">
        <f>SUM(G1240)</f>
        <v>0</v>
      </c>
      <c r="H1239" s="26">
        <f>SUM(H1240)</f>
        <v>0</v>
      </c>
      <c r="I1239" s="26" t="e">
        <f t="shared" si="41"/>
        <v>#DIV/0!</v>
      </c>
    </row>
    <row r="1240" spans="1:9" ht="0.75" customHeight="1" hidden="1">
      <c r="A1240" s="297" t="s">
        <v>141</v>
      </c>
      <c r="B1240" s="56"/>
      <c r="C1240" s="37" t="s">
        <v>1176</v>
      </c>
      <c r="D1240" s="37" t="s">
        <v>1140</v>
      </c>
      <c r="E1240" s="37" t="s">
        <v>619</v>
      </c>
      <c r="F1240" s="29" t="s">
        <v>142</v>
      </c>
      <c r="G1240" s="26"/>
      <c r="H1240" s="26"/>
      <c r="I1240" s="26" t="e">
        <f t="shared" si="41"/>
        <v>#DIV/0!</v>
      </c>
    </row>
    <row r="1241" spans="1:9" ht="18" customHeight="1">
      <c r="A1241" s="285" t="s">
        <v>620</v>
      </c>
      <c r="B1241" s="23"/>
      <c r="C1241" s="37" t="s">
        <v>1176</v>
      </c>
      <c r="D1241" s="37" t="s">
        <v>1140</v>
      </c>
      <c r="E1241" s="37" t="s">
        <v>621</v>
      </c>
      <c r="F1241" s="28"/>
      <c r="G1241" s="26">
        <f>SUM(G1242)</f>
        <v>3447.7</v>
      </c>
      <c r="H1241" s="26">
        <f>SUM(H1242)</f>
        <v>56722</v>
      </c>
      <c r="I1241" s="26">
        <f t="shared" si="41"/>
        <v>1645.2127505293386</v>
      </c>
    </row>
    <row r="1242" spans="1:9" ht="33" customHeight="1">
      <c r="A1242" s="285" t="s">
        <v>807</v>
      </c>
      <c r="B1242" s="96"/>
      <c r="C1242" s="37" t="s">
        <v>1176</v>
      </c>
      <c r="D1242" s="37" t="s">
        <v>1140</v>
      </c>
      <c r="E1242" s="37" t="s">
        <v>770</v>
      </c>
      <c r="F1242" s="28"/>
      <c r="G1242" s="26">
        <f>SUM(G1244)</f>
        <v>3447.7</v>
      </c>
      <c r="H1242" s="26">
        <f>SUM(H1244+H1272+H1270)</f>
        <v>56722</v>
      </c>
      <c r="I1242" s="26">
        <f>SUM(H1242/G1242*100)</f>
        <v>1645.2127505293386</v>
      </c>
    </row>
    <row r="1243" spans="1:9" ht="43.5" customHeight="1">
      <c r="A1243" s="285" t="s">
        <v>754</v>
      </c>
      <c r="B1243" s="96"/>
      <c r="C1243" s="37" t="s">
        <v>1176</v>
      </c>
      <c r="D1243" s="37" t="s">
        <v>1140</v>
      </c>
      <c r="E1243" s="37" t="s">
        <v>771</v>
      </c>
      <c r="F1243" s="28"/>
      <c r="G1243" s="26">
        <f>SUM(G1244)</f>
        <v>3447.7</v>
      </c>
      <c r="H1243" s="26"/>
      <c r="I1243" s="26"/>
    </row>
    <row r="1244" spans="1:9" ht="59.25" customHeight="1">
      <c r="A1244" s="297" t="s">
        <v>315</v>
      </c>
      <c r="B1244" s="56"/>
      <c r="C1244" s="37" t="s">
        <v>1176</v>
      </c>
      <c r="D1244" s="37" t="s">
        <v>1140</v>
      </c>
      <c r="E1244" s="37" t="s">
        <v>771</v>
      </c>
      <c r="F1244" s="29" t="s">
        <v>496</v>
      </c>
      <c r="G1244" s="26">
        <v>3447.7</v>
      </c>
      <c r="H1244" s="26">
        <v>56722</v>
      </c>
      <c r="I1244" s="26">
        <f>SUM(H1244/G1244*100)</f>
        <v>1645.2127505293386</v>
      </c>
    </row>
    <row r="1245" spans="1:9" ht="17.25" customHeight="1" hidden="1">
      <c r="A1245" s="285" t="s">
        <v>511</v>
      </c>
      <c r="B1245" s="30"/>
      <c r="C1245" s="37" t="s">
        <v>1176</v>
      </c>
      <c r="D1245" s="37" t="s">
        <v>1140</v>
      </c>
      <c r="E1245" s="37" t="s">
        <v>623</v>
      </c>
      <c r="F1245" s="29"/>
      <c r="G1245" s="26">
        <f>SUM(G1246)</f>
        <v>0</v>
      </c>
      <c r="H1245" s="26">
        <f>SUM(H1246)</f>
        <v>0</v>
      </c>
      <c r="I1245" s="26" t="e">
        <f t="shared" si="41"/>
        <v>#DIV/0!</v>
      </c>
    </row>
    <row r="1246" spans="1:9" ht="18" customHeight="1" hidden="1">
      <c r="A1246" s="297" t="s">
        <v>141</v>
      </c>
      <c r="B1246" s="56"/>
      <c r="C1246" s="37" t="s">
        <v>1176</v>
      </c>
      <c r="D1246" s="37" t="s">
        <v>1140</v>
      </c>
      <c r="E1246" s="37" t="s">
        <v>623</v>
      </c>
      <c r="F1246" s="29" t="s">
        <v>142</v>
      </c>
      <c r="G1246" s="26"/>
      <c r="H1246" s="26"/>
      <c r="I1246" s="26" t="e">
        <f t="shared" si="41"/>
        <v>#DIV/0!</v>
      </c>
    </row>
    <row r="1247" spans="1:9" ht="15">
      <c r="A1247" s="285" t="s">
        <v>624</v>
      </c>
      <c r="B1247" s="23"/>
      <c r="C1247" s="37" t="s">
        <v>1176</v>
      </c>
      <c r="D1247" s="37" t="s">
        <v>1140</v>
      </c>
      <c r="E1247" s="37" t="s">
        <v>625</v>
      </c>
      <c r="F1247" s="28"/>
      <c r="G1247" s="26">
        <f>SUM(G1248)</f>
        <v>20381.1</v>
      </c>
      <c r="H1247" s="26">
        <f>SUM(H1248)</f>
        <v>10268.9</v>
      </c>
      <c r="I1247" s="26">
        <f t="shared" si="41"/>
        <v>50.384424785708326</v>
      </c>
    </row>
    <row r="1248" spans="1:9" ht="28.5">
      <c r="A1248" s="285" t="s">
        <v>493</v>
      </c>
      <c r="B1248" s="96"/>
      <c r="C1248" s="37" t="s">
        <v>1176</v>
      </c>
      <c r="D1248" s="37" t="s">
        <v>1140</v>
      </c>
      <c r="E1248" s="37" t="s">
        <v>626</v>
      </c>
      <c r="F1248" s="28"/>
      <c r="G1248" s="26">
        <f>SUM(G1249+G1252+G1254)</f>
        <v>20381.1</v>
      </c>
      <c r="H1248" s="26">
        <f>SUM(H1249+H1252+H1254)</f>
        <v>10268.9</v>
      </c>
      <c r="I1248" s="26">
        <f t="shared" si="41"/>
        <v>50.384424785708326</v>
      </c>
    </row>
    <row r="1249" spans="1:9" ht="18.75" customHeight="1">
      <c r="A1249" s="297" t="s">
        <v>494</v>
      </c>
      <c r="B1249" s="56"/>
      <c r="C1249" s="37" t="s">
        <v>1176</v>
      </c>
      <c r="D1249" s="37" t="s">
        <v>1140</v>
      </c>
      <c r="E1249" s="37" t="s">
        <v>626</v>
      </c>
      <c r="F1249" s="29" t="s">
        <v>142</v>
      </c>
      <c r="G1249" s="26">
        <v>18298.5</v>
      </c>
      <c r="H1249" s="26">
        <v>8963.8</v>
      </c>
      <c r="I1249" s="26">
        <f t="shared" si="41"/>
        <v>48.98652895046042</v>
      </c>
    </row>
    <row r="1250" spans="1:9" ht="45.75" customHeight="1" hidden="1">
      <c r="A1250" s="297" t="s">
        <v>617</v>
      </c>
      <c r="B1250" s="56"/>
      <c r="C1250" s="37" t="s">
        <v>1176</v>
      </c>
      <c r="D1250" s="37" t="s">
        <v>1140</v>
      </c>
      <c r="E1250" s="37" t="s">
        <v>626</v>
      </c>
      <c r="F1250" s="29" t="s">
        <v>618</v>
      </c>
      <c r="G1250" s="26"/>
      <c r="H1250" s="26"/>
      <c r="I1250" s="26" t="e">
        <f t="shared" si="41"/>
        <v>#DIV/0!</v>
      </c>
    </row>
    <row r="1251" spans="1:9" ht="54.75" customHeight="1" hidden="1">
      <c r="A1251" s="285" t="s">
        <v>511</v>
      </c>
      <c r="B1251" s="30"/>
      <c r="C1251" s="37" t="s">
        <v>1176</v>
      </c>
      <c r="D1251" s="37" t="s">
        <v>1140</v>
      </c>
      <c r="E1251" s="37" t="s">
        <v>627</v>
      </c>
      <c r="F1251" s="29"/>
      <c r="G1251" s="26">
        <f>SUM(G1252)</f>
        <v>0</v>
      </c>
      <c r="H1251" s="26">
        <f>SUM(H1252)</f>
        <v>0</v>
      </c>
      <c r="I1251" s="26" t="e">
        <f t="shared" si="41"/>
        <v>#DIV/0!</v>
      </c>
    </row>
    <row r="1252" spans="1:9" ht="15.75" hidden="1">
      <c r="A1252" s="297" t="s">
        <v>141</v>
      </c>
      <c r="B1252" s="56"/>
      <c r="C1252" s="37" t="s">
        <v>1176</v>
      </c>
      <c r="D1252" s="37" t="s">
        <v>1140</v>
      </c>
      <c r="E1252" s="37" t="s">
        <v>627</v>
      </c>
      <c r="F1252" s="29" t="s">
        <v>142</v>
      </c>
      <c r="G1252" s="26"/>
      <c r="H1252" s="26"/>
      <c r="I1252" s="26" t="e">
        <f t="shared" si="41"/>
        <v>#DIV/0!</v>
      </c>
    </row>
    <row r="1253" spans="1:9" ht="45" customHeight="1">
      <c r="A1253" s="297" t="s">
        <v>513</v>
      </c>
      <c r="B1253" s="56"/>
      <c r="C1253" s="37" t="s">
        <v>1176</v>
      </c>
      <c r="D1253" s="37" t="s">
        <v>1140</v>
      </c>
      <c r="E1253" s="37" t="s">
        <v>628</v>
      </c>
      <c r="F1253" s="29"/>
      <c r="G1253" s="26">
        <f>SUM(G1254)</f>
        <v>2082.6</v>
      </c>
      <c r="H1253" s="26">
        <f>SUM(H1254)</f>
        <v>1305.1</v>
      </c>
      <c r="I1253" s="26">
        <f t="shared" si="41"/>
        <v>62.66685873427447</v>
      </c>
    </row>
    <row r="1254" spans="1:9" ht="15.75">
      <c r="A1254" s="297" t="s">
        <v>494</v>
      </c>
      <c r="B1254" s="56"/>
      <c r="C1254" s="37" t="s">
        <v>1176</v>
      </c>
      <c r="D1254" s="37" t="s">
        <v>1140</v>
      </c>
      <c r="E1254" s="37" t="s">
        <v>628</v>
      </c>
      <c r="F1254" s="29" t="s">
        <v>142</v>
      </c>
      <c r="G1254" s="26">
        <v>2082.6</v>
      </c>
      <c r="H1254" s="26">
        <v>1305.1</v>
      </c>
      <c r="I1254" s="26">
        <f t="shared" si="41"/>
        <v>62.66685873427447</v>
      </c>
    </row>
    <row r="1255" spans="1:9" ht="28.5" customHeight="1" hidden="1">
      <c r="A1255" s="297" t="s">
        <v>629</v>
      </c>
      <c r="B1255" s="56"/>
      <c r="C1255" s="37" t="s">
        <v>1176</v>
      </c>
      <c r="D1255" s="37" t="s">
        <v>1140</v>
      </c>
      <c r="E1255" s="37" t="s">
        <v>630</v>
      </c>
      <c r="F1255" s="29"/>
      <c r="G1255" s="26">
        <f>SUM(G1258+G1256)</f>
        <v>0</v>
      </c>
      <c r="H1255" s="26">
        <f>SUM(H1258+H1256)</f>
        <v>0</v>
      </c>
      <c r="I1255" s="26" t="e">
        <f t="shared" si="41"/>
        <v>#DIV/0!</v>
      </c>
    </row>
    <row r="1256" spans="1:9" ht="15.75" hidden="1">
      <c r="A1256" s="297" t="s">
        <v>141</v>
      </c>
      <c r="B1256" s="56"/>
      <c r="C1256" s="37" t="s">
        <v>1176</v>
      </c>
      <c r="D1256" s="37" t="s">
        <v>1140</v>
      </c>
      <c r="E1256" s="37" t="s">
        <v>630</v>
      </c>
      <c r="F1256" s="29" t="s">
        <v>142</v>
      </c>
      <c r="G1256" s="26"/>
      <c r="H1256" s="26"/>
      <c r="I1256" s="26" t="e">
        <f t="shared" si="41"/>
        <v>#DIV/0!</v>
      </c>
    </row>
    <row r="1257" spans="1:9" ht="42" customHeight="1" hidden="1">
      <c r="A1257" s="297" t="s">
        <v>631</v>
      </c>
      <c r="B1257" s="56"/>
      <c r="C1257" s="37" t="s">
        <v>1176</v>
      </c>
      <c r="D1257" s="37" t="s">
        <v>1140</v>
      </c>
      <c r="E1257" s="37" t="s">
        <v>632</v>
      </c>
      <c r="F1257" s="29"/>
      <c r="G1257" s="26">
        <f>SUM(G1258)</f>
        <v>0</v>
      </c>
      <c r="H1257" s="26">
        <f>SUM(H1258)</f>
        <v>0</v>
      </c>
      <c r="I1257" s="26" t="e">
        <f t="shared" si="41"/>
        <v>#DIV/0!</v>
      </c>
    </row>
    <row r="1258" spans="1:9" ht="15.75" hidden="1">
      <c r="A1258" s="297" t="s">
        <v>141</v>
      </c>
      <c r="B1258" s="56"/>
      <c r="C1258" s="37" t="s">
        <v>1176</v>
      </c>
      <c r="D1258" s="37" t="s">
        <v>1140</v>
      </c>
      <c r="E1258" s="37" t="s">
        <v>632</v>
      </c>
      <c r="F1258" s="29" t="s">
        <v>142</v>
      </c>
      <c r="G1258" s="26"/>
      <c r="H1258" s="26"/>
      <c r="I1258" s="26" t="e">
        <f t="shared" si="41"/>
        <v>#DIV/0!</v>
      </c>
    </row>
    <row r="1259" spans="1:9" ht="15.75">
      <c r="A1259" s="287" t="s">
        <v>103</v>
      </c>
      <c r="B1259" s="42"/>
      <c r="C1259" s="33" t="s">
        <v>1176</v>
      </c>
      <c r="D1259" s="33" t="s">
        <v>1174</v>
      </c>
      <c r="E1259" s="33"/>
      <c r="F1259" s="103"/>
      <c r="G1259" s="26">
        <f>SUM(G1263+G1266+G1261)</f>
        <v>13098</v>
      </c>
      <c r="H1259" s="26">
        <f>SUM(H1263+H1266+H1261)</f>
        <v>4633.8</v>
      </c>
      <c r="I1259" s="26">
        <f t="shared" si="41"/>
        <v>35.37792029317453</v>
      </c>
    </row>
    <row r="1260" spans="1:9" ht="15.75" hidden="1">
      <c r="A1260" s="285" t="s">
        <v>660</v>
      </c>
      <c r="B1260" s="42"/>
      <c r="C1260" s="37" t="s">
        <v>1176</v>
      </c>
      <c r="D1260" s="33" t="s">
        <v>1174</v>
      </c>
      <c r="E1260" s="37" t="s">
        <v>662</v>
      </c>
      <c r="F1260" s="103"/>
      <c r="G1260" s="26">
        <f>SUM(G1261)</f>
        <v>0</v>
      </c>
      <c r="H1260" s="26">
        <f>SUM(H1261)</f>
        <v>900</v>
      </c>
      <c r="I1260" s="26" t="e">
        <f t="shared" si="41"/>
        <v>#DIV/0!</v>
      </c>
    </row>
    <row r="1261" spans="1:9" ht="15.75" hidden="1">
      <c r="A1261" s="285" t="s">
        <v>638</v>
      </c>
      <c r="B1261" s="42"/>
      <c r="C1261" s="37" t="s">
        <v>1176</v>
      </c>
      <c r="D1261" s="33" t="s">
        <v>1174</v>
      </c>
      <c r="E1261" s="37" t="s">
        <v>639</v>
      </c>
      <c r="F1261" s="103"/>
      <c r="G1261" s="26">
        <f>SUM(G1262)</f>
        <v>0</v>
      </c>
      <c r="H1261" s="26">
        <f>SUM(H1262)</f>
        <v>900</v>
      </c>
      <c r="I1261" s="26" t="e">
        <f t="shared" si="41"/>
        <v>#DIV/0!</v>
      </c>
    </row>
    <row r="1262" spans="1:9" ht="28.5" hidden="1">
      <c r="A1262" s="285" t="s">
        <v>829</v>
      </c>
      <c r="B1262" s="42"/>
      <c r="C1262" s="37" t="s">
        <v>1176</v>
      </c>
      <c r="D1262" s="33" t="s">
        <v>1174</v>
      </c>
      <c r="E1262" s="37" t="s">
        <v>639</v>
      </c>
      <c r="F1262" s="103" t="s">
        <v>830</v>
      </c>
      <c r="G1262" s="26"/>
      <c r="H1262" s="26">
        <v>900</v>
      </c>
      <c r="I1262" s="26" t="e">
        <f t="shared" si="41"/>
        <v>#DIV/0!</v>
      </c>
    </row>
    <row r="1263" spans="1:9" ht="71.25" customHeight="1">
      <c r="A1263" s="287" t="s">
        <v>915</v>
      </c>
      <c r="B1263" s="96"/>
      <c r="C1263" s="37" t="s">
        <v>1176</v>
      </c>
      <c r="D1263" s="33" t="s">
        <v>1174</v>
      </c>
      <c r="E1263" s="37" t="s">
        <v>916</v>
      </c>
      <c r="F1263" s="28"/>
      <c r="G1263" s="26">
        <f>SUM(G1264)</f>
        <v>5498</v>
      </c>
      <c r="H1263" s="26">
        <f>SUM(H1264)</f>
        <v>3733.8</v>
      </c>
      <c r="I1263" s="26">
        <f t="shared" si="41"/>
        <v>67.91196798835941</v>
      </c>
    </row>
    <row r="1264" spans="1:9" ht="28.5">
      <c r="A1264" s="285" t="s">
        <v>493</v>
      </c>
      <c r="B1264" s="96"/>
      <c r="C1264" s="37" t="s">
        <v>1176</v>
      </c>
      <c r="D1264" s="33" t="s">
        <v>1174</v>
      </c>
      <c r="E1264" s="37" t="s">
        <v>917</v>
      </c>
      <c r="F1264" s="28"/>
      <c r="G1264" s="26">
        <f>SUM(G1265)</f>
        <v>5498</v>
      </c>
      <c r="H1264" s="26">
        <f>SUM(H1265)</f>
        <v>3733.8</v>
      </c>
      <c r="I1264" s="26">
        <f t="shared" si="41"/>
        <v>67.91196798835941</v>
      </c>
    </row>
    <row r="1265" spans="1:9" ht="15.75">
      <c r="A1265" s="297" t="s">
        <v>494</v>
      </c>
      <c r="B1265" s="56"/>
      <c r="C1265" s="37" t="s">
        <v>1176</v>
      </c>
      <c r="D1265" s="33" t="s">
        <v>1174</v>
      </c>
      <c r="E1265" s="37" t="s">
        <v>917</v>
      </c>
      <c r="F1265" s="29" t="s">
        <v>142</v>
      </c>
      <c r="G1265" s="26">
        <v>5498</v>
      </c>
      <c r="H1265" s="26">
        <v>3733.8</v>
      </c>
      <c r="I1265" s="26">
        <f t="shared" si="41"/>
        <v>67.91196798835941</v>
      </c>
    </row>
    <row r="1266" spans="1:9" ht="15.75">
      <c r="A1266" s="297" t="s">
        <v>1186</v>
      </c>
      <c r="B1266" s="42"/>
      <c r="C1266" s="33" t="s">
        <v>1176</v>
      </c>
      <c r="D1266" s="33" t="s">
        <v>1174</v>
      </c>
      <c r="E1266" s="33" t="s">
        <v>1187</v>
      </c>
      <c r="F1266" s="103"/>
      <c r="G1266" s="26">
        <f>SUM(G1267)+G1270</f>
        <v>7600</v>
      </c>
      <c r="H1266" s="26">
        <f>SUM(H1267)</f>
        <v>0</v>
      </c>
      <c r="I1266" s="26">
        <f t="shared" si="41"/>
        <v>0</v>
      </c>
    </row>
    <row r="1267" spans="1:9" ht="37.5" customHeight="1">
      <c r="A1267" s="299" t="s">
        <v>878</v>
      </c>
      <c r="B1267" s="42"/>
      <c r="C1267" s="33" t="s">
        <v>1176</v>
      </c>
      <c r="D1267" s="33" t="s">
        <v>1174</v>
      </c>
      <c r="E1267" s="33" t="s">
        <v>831</v>
      </c>
      <c r="F1267" s="103"/>
      <c r="G1267" s="26">
        <f>SUM(G1268:G1269)</f>
        <v>4000</v>
      </c>
      <c r="H1267" s="26">
        <f>SUM(H1268:H1272)</f>
        <v>0</v>
      </c>
      <c r="I1267" s="26">
        <f t="shared" si="41"/>
        <v>0</v>
      </c>
    </row>
    <row r="1268" spans="1:9" ht="48" customHeight="1">
      <c r="A1268" s="297" t="s">
        <v>808</v>
      </c>
      <c r="B1268" s="42"/>
      <c r="C1268" s="33" t="s">
        <v>1176</v>
      </c>
      <c r="D1268" s="33" t="s">
        <v>1174</v>
      </c>
      <c r="E1268" s="33" t="s">
        <v>831</v>
      </c>
      <c r="F1268" s="103" t="s">
        <v>830</v>
      </c>
      <c r="G1268" s="26">
        <v>2510</v>
      </c>
      <c r="H1268" s="26"/>
      <c r="I1268" s="26">
        <f t="shared" si="41"/>
        <v>0</v>
      </c>
    </row>
    <row r="1269" spans="1:9" ht="15.75">
      <c r="A1269" s="299" t="s">
        <v>316</v>
      </c>
      <c r="B1269" s="42"/>
      <c r="C1269" s="33" t="s">
        <v>1176</v>
      </c>
      <c r="D1269" s="33" t="s">
        <v>1174</v>
      </c>
      <c r="E1269" s="33" t="s">
        <v>831</v>
      </c>
      <c r="F1269" s="103" t="s">
        <v>772</v>
      </c>
      <c r="G1269" s="54">
        <v>1490</v>
      </c>
      <c r="H1269" s="54"/>
      <c r="I1269" s="26">
        <f t="shared" si="41"/>
        <v>0</v>
      </c>
    </row>
    <row r="1270" spans="1:9" ht="33" customHeight="1">
      <c r="A1270" s="299" t="s">
        <v>832</v>
      </c>
      <c r="B1270" s="42"/>
      <c r="C1270" s="33" t="s">
        <v>1176</v>
      </c>
      <c r="D1270" s="33" t="s">
        <v>1174</v>
      </c>
      <c r="E1270" s="33" t="s">
        <v>833</v>
      </c>
      <c r="F1270" s="103"/>
      <c r="G1270" s="54">
        <f>SUM(G1271:G1272)</f>
        <v>3600</v>
      </c>
      <c r="H1270" s="54"/>
      <c r="I1270" s="26"/>
    </row>
    <row r="1271" spans="1:9" ht="43.5" customHeight="1">
      <c r="A1271" s="297" t="s">
        <v>808</v>
      </c>
      <c r="B1271" s="42"/>
      <c r="C1271" s="33" t="s">
        <v>1176</v>
      </c>
      <c r="D1271" s="33" t="s">
        <v>1174</v>
      </c>
      <c r="E1271" s="33" t="s">
        <v>833</v>
      </c>
      <c r="F1271" s="103" t="s">
        <v>830</v>
      </c>
      <c r="G1271" s="26">
        <v>2904</v>
      </c>
      <c r="H1271" s="26"/>
      <c r="I1271" s="26">
        <f>SUM(H1271/G1271*100)</f>
        <v>0</v>
      </c>
    </row>
    <row r="1272" spans="1:9" ht="15.75">
      <c r="A1272" s="299" t="s">
        <v>316</v>
      </c>
      <c r="B1272" s="42"/>
      <c r="C1272" s="33" t="s">
        <v>1176</v>
      </c>
      <c r="D1272" s="33" t="s">
        <v>1174</v>
      </c>
      <c r="E1272" s="33" t="s">
        <v>833</v>
      </c>
      <c r="F1272" s="103" t="s">
        <v>772</v>
      </c>
      <c r="G1272" s="54">
        <v>696</v>
      </c>
      <c r="H1272" s="54"/>
      <c r="I1272" s="26">
        <f>SUM(H1272/G1272*100)</f>
        <v>0</v>
      </c>
    </row>
    <row r="1273" spans="1:9" ht="15" customHeight="1">
      <c r="A1273" s="298" t="s">
        <v>825</v>
      </c>
      <c r="B1273" s="96" t="s">
        <v>879</v>
      </c>
      <c r="C1273" s="37"/>
      <c r="D1273" s="37"/>
      <c r="E1273" s="37"/>
      <c r="F1273" s="28"/>
      <c r="G1273" s="161">
        <f>SUM(G1274+G1282)</f>
        <v>95944.1</v>
      </c>
      <c r="H1273" s="161" t="e">
        <f>SUM(H1274+H1282)</f>
        <v>#REF!</v>
      </c>
      <c r="I1273" s="45" t="e">
        <f t="shared" si="41"/>
        <v>#REF!</v>
      </c>
    </row>
    <row r="1274" spans="1:9" ht="15.75" hidden="1">
      <c r="A1274" s="285" t="s">
        <v>1162</v>
      </c>
      <c r="B1274" s="96"/>
      <c r="C1274" s="37" t="s">
        <v>1163</v>
      </c>
      <c r="D1274" s="37"/>
      <c r="E1274" s="37"/>
      <c r="F1274" s="28"/>
      <c r="G1274" s="26">
        <f>SUM(G1275)+G1279</f>
        <v>0</v>
      </c>
      <c r="H1274" s="26">
        <f>SUM(H1275)+H1279</f>
        <v>0</v>
      </c>
      <c r="I1274" s="26" t="e">
        <f t="shared" si="41"/>
        <v>#DIV/0!</v>
      </c>
    </row>
    <row r="1275" spans="1:9" ht="15" hidden="1">
      <c r="A1275" s="285" t="s">
        <v>1164</v>
      </c>
      <c r="B1275" s="30"/>
      <c r="C1275" s="24" t="s">
        <v>1163</v>
      </c>
      <c r="D1275" s="24" t="s">
        <v>1163</v>
      </c>
      <c r="E1275" s="24"/>
      <c r="F1275" s="25"/>
      <c r="G1275" s="26">
        <f aca="true" t="shared" si="42" ref="G1275:H1277">SUM(G1276)</f>
        <v>0</v>
      </c>
      <c r="H1275" s="26">
        <f t="shared" si="42"/>
        <v>0</v>
      </c>
      <c r="I1275" s="26" t="e">
        <f t="shared" si="41"/>
        <v>#DIV/0!</v>
      </c>
    </row>
    <row r="1276" spans="1:9" ht="15" hidden="1">
      <c r="A1276" s="287" t="s">
        <v>84</v>
      </c>
      <c r="B1276" s="30"/>
      <c r="C1276" s="24" t="s">
        <v>1163</v>
      </c>
      <c r="D1276" s="24" t="s">
        <v>1163</v>
      </c>
      <c r="E1276" s="24" t="s">
        <v>1166</v>
      </c>
      <c r="F1276" s="25"/>
      <c r="G1276" s="26">
        <f t="shared" si="42"/>
        <v>0</v>
      </c>
      <c r="H1276" s="26">
        <f t="shared" si="42"/>
        <v>0</v>
      </c>
      <c r="I1276" s="26" t="e">
        <f t="shared" si="41"/>
        <v>#DIV/0!</v>
      </c>
    </row>
    <row r="1277" spans="1:9" ht="15" hidden="1">
      <c r="A1277" s="287" t="s">
        <v>85</v>
      </c>
      <c r="B1277" s="30"/>
      <c r="C1277" s="24" t="s">
        <v>1163</v>
      </c>
      <c r="D1277" s="24" t="s">
        <v>1163</v>
      </c>
      <c r="E1277" s="24" t="s">
        <v>86</v>
      </c>
      <c r="F1277" s="25"/>
      <c r="G1277" s="26">
        <f t="shared" si="42"/>
        <v>0</v>
      </c>
      <c r="H1277" s="26">
        <f t="shared" si="42"/>
        <v>0</v>
      </c>
      <c r="I1277" s="26" t="e">
        <f t="shared" si="41"/>
        <v>#DIV/0!</v>
      </c>
    </row>
    <row r="1278" spans="1:9" ht="14.25" customHeight="1" hidden="1">
      <c r="A1278" s="297" t="s">
        <v>141</v>
      </c>
      <c r="B1278" s="30"/>
      <c r="C1278" s="24" t="s">
        <v>1163</v>
      </c>
      <c r="D1278" s="24" t="s">
        <v>1163</v>
      </c>
      <c r="E1278" s="24" t="s">
        <v>86</v>
      </c>
      <c r="F1278" s="25" t="s">
        <v>142</v>
      </c>
      <c r="G1278" s="26"/>
      <c r="H1278" s="26"/>
      <c r="I1278" s="26" t="e">
        <f t="shared" si="41"/>
        <v>#DIV/0!</v>
      </c>
    </row>
    <row r="1279" spans="1:9" ht="18" customHeight="1" hidden="1">
      <c r="A1279" s="297" t="s">
        <v>98</v>
      </c>
      <c r="B1279" s="30"/>
      <c r="C1279" s="24" t="s">
        <v>1163</v>
      </c>
      <c r="D1279" s="24" t="s">
        <v>971</v>
      </c>
      <c r="E1279" s="24"/>
      <c r="F1279" s="25"/>
      <c r="G1279" s="26">
        <f>SUM(G1280)</f>
        <v>0</v>
      </c>
      <c r="H1279" s="26">
        <f>SUM(H1280)</f>
        <v>0</v>
      </c>
      <c r="I1279" s="26" t="e">
        <f t="shared" si="41"/>
        <v>#DIV/0!</v>
      </c>
    </row>
    <row r="1280" spans="1:9" ht="13.5" customHeight="1" hidden="1">
      <c r="A1280" s="297" t="s">
        <v>1186</v>
      </c>
      <c r="B1280" s="30"/>
      <c r="C1280" s="24" t="s">
        <v>1163</v>
      </c>
      <c r="D1280" s="24" t="s">
        <v>971</v>
      </c>
      <c r="E1280" s="24" t="s">
        <v>1187</v>
      </c>
      <c r="F1280" s="25"/>
      <c r="G1280" s="26">
        <f>SUM(G1281)</f>
        <v>0</v>
      </c>
      <c r="H1280" s="26">
        <f>SUM(H1281)</f>
        <v>0</v>
      </c>
      <c r="I1280" s="26" t="e">
        <f t="shared" si="41"/>
        <v>#DIV/0!</v>
      </c>
    </row>
    <row r="1281" spans="1:9" ht="13.5" customHeight="1" hidden="1">
      <c r="A1281" s="285" t="s">
        <v>834</v>
      </c>
      <c r="B1281" s="30"/>
      <c r="C1281" s="24" t="s">
        <v>1163</v>
      </c>
      <c r="D1281" s="24" t="s">
        <v>971</v>
      </c>
      <c r="E1281" s="24" t="s">
        <v>1187</v>
      </c>
      <c r="F1281" s="25" t="s">
        <v>364</v>
      </c>
      <c r="G1281" s="26"/>
      <c r="H1281" s="26"/>
      <c r="I1281" s="26" t="e">
        <f t="shared" si="41"/>
        <v>#DIV/0!</v>
      </c>
    </row>
    <row r="1282" spans="1:9" ht="15">
      <c r="A1282" s="285" t="s">
        <v>529</v>
      </c>
      <c r="B1282" s="23"/>
      <c r="C1282" s="37" t="s">
        <v>971</v>
      </c>
      <c r="D1282" s="37"/>
      <c r="E1282" s="37"/>
      <c r="F1282" s="28"/>
      <c r="G1282" s="26">
        <f>SUM(G1283+G1294+G1319+G1331+G1314)</f>
        <v>95944.1</v>
      </c>
      <c r="H1282" s="26" t="e">
        <f>SUM(H1283+H1294+H1319+H1331+H1314)</f>
        <v>#REF!</v>
      </c>
      <c r="I1282" s="26" t="e">
        <f t="shared" si="41"/>
        <v>#REF!</v>
      </c>
    </row>
    <row r="1283" spans="1:9" ht="13.5" customHeight="1">
      <c r="A1283" s="285" t="s">
        <v>365</v>
      </c>
      <c r="B1283" s="23"/>
      <c r="C1283" s="37" t="s">
        <v>971</v>
      </c>
      <c r="D1283" s="37" t="s">
        <v>1140</v>
      </c>
      <c r="E1283" s="37"/>
      <c r="F1283" s="28"/>
      <c r="G1283" s="26">
        <f>SUM(G1284+G1287)</f>
        <v>8280.5</v>
      </c>
      <c r="H1283" s="26">
        <f>SUM(H1284+H1287)</f>
        <v>46235.5</v>
      </c>
      <c r="I1283" s="26">
        <f aca="true" t="shared" si="43" ref="I1283:I1344">SUM(H1283/G1283*100)</f>
        <v>558.3660406980255</v>
      </c>
    </row>
    <row r="1284" spans="1:9" ht="17.25" customHeight="1" hidden="1">
      <c r="A1284" s="285" t="s">
        <v>660</v>
      </c>
      <c r="B1284" s="23"/>
      <c r="C1284" s="37" t="s">
        <v>971</v>
      </c>
      <c r="D1284" s="37" t="s">
        <v>1140</v>
      </c>
      <c r="E1284" s="24" t="s">
        <v>662</v>
      </c>
      <c r="F1284" s="25"/>
      <c r="G1284" s="26">
        <f>SUM(G1285)</f>
        <v>0</v>
      </c>
      <c r="H1284" s="26">
        <f>SUM(H1285)</f>
        <v>146.8</v>
      </c>
      <c r="I1284" s="26" t="e">
        <f t="shared" si="43"/>
        <v>#DIV/0!</v>
      </c>
    </row>
    <row r="1285" spans="1:9" ht="15.75" customHeight="1" hidden="1">
      <c r="A1285" s="285" t="s">
        <v>638</v>
      </c>
      <c r="B1285" s="23"/>
      <c r="C1285" s="37" t="s">
        <v>971</v>
      </c>
      <c r="D1285" s="37" t="s">
        <v>1140</v>
      </c>
      <c r="E1285" s="24" t="s">
        <v>639</v>
      </c>
      <c r="F1285" s="25"/>
      <c r="G1285" s="26">
        <f>SUM(G1286)</f>
        <v>0</v>
      </c>
      <c r="H1285" s="26">
        <f>SUM(H1286)</f>
        <v>146.8</v>
      </c>
      <c r="I1285" s="26" t="e">
        <f t="shared" si="43"/>
        <v>#DIV/0!</v>
      </c>
    </row>
    <row r="1286" spans="1:9" ht="17.25" customHeight="1" hidden="1">
      <c r="A1286" s="297" t="s">
        <v>141</v>
      </c>
      <c r="B1286" s="36"/>
      <c r="C1286" s="37" t="s">
        <v>971</v>
      </c>
      <c r="D1286" s="37" t="s">
        <v>1140</v>
      </c>
      <c r="E1286" s="24" t="s">
        <v>639</v>
      </c>
      <c r="F1286" s="28" t="s">
        <v>142</v>
      </c>
      <c r="G1286" s="26"/>
      <c r="H1286" s="26">
        <v>146.8</v>
      </c>
      <c r="I1286" s="26" t="e">
        <f t="shared" si="43"/>
        <v>#DIV/0!</v>
      </c>
    </row>
    <row r="1287" spans="1:9" ht="15">
      <c r="A1287" s="285" t="s">
        <v>369</v>
      </c>
      <c r="B1287" s="23"/>
      <c r="C1287" s="37" t="s">
        <v>971</v>
      </c>
      <c r="D1287" s="37" t="s">
        <v>1140</v>
      </c>
      <c r="E1287" s="37" t="s">
        <v>370</v>
      </c>
      <c r="F1287" s="28"/>
      <c r="G1287" s="26">
        <f>SUM(G1288)</f>
        <v>8280.5</v>
      </c>
      <c r="H1287" s="26">
        <f>SUM(H1288)</f>
        <v>46088.7</v>
      </c>
      <c r="I1287" s="26">
        <f t="shared" si="43"/>
        <v>556.5932008936658</v>
      </c>
    </row>
    <row r="1288" spans="1:9" ht="15.75">
      <c r="A1288" s="285" t="s">
        <v>807</v>
      </c>
      <c r="B1288" s="96"/>
      <c r="C1288" s="37" t="s">
        <v>971</v>
      </c>
      <c r="D1288" s="37" t="s">
        <v>1140</v>
      </c>
      <c r="E1288" s="37" t="s">
        <v>773</v>
      </c>
      <c r="F1288" s="28"/>
      <c r="G1288" s="26">
        <f>SUM(G1290)</f>
        <v>8280.5</v>
      </c>
      <c r="H1288" s="26">
        <f>SUM(H1289:H1292)</f>
        <v>46088.7</v>
      </c>
      <c r="I1288" s="26">
        <f t="shared" si="43"/>
        <v>556.5932008936658</v>
      </c>
    </row>
    <row r="1289" spans="1:9" ht="28.5">
      <c r="A1289" s="285" t="s">
        <v>817</v>
      </c>
      <c r="B1289" s="96"/>
      <c r="C1289" s="37" t="s">
        <v>971</v>
      </c>
      <c r="D1289" s="37" t="s">
        <v>1140</v>
      </c>
      <c r="E1289" s="37" t="s">
        <v>816</v>
      </c>
      <c r="F1289" s="28"/>
      <c r="G1289" s="26">
        <f>SUM(G1290)</f>
        <v>8280.5</v>
      </c>
      <c r="H1289" s="26">
        <v>46088.7</v>
      </c>
      <c r="I1289" s="26">
        <f t="shared" si="43"/>
        <v>556.5932008936658</v>
      </c>
    </row>
    <row r="1290" spans="1:9" ht="42.75" customHeight="1">
      <c r="A1290" s="297" t="s">
        <v>1018</v>
      </c>
      <c r="B1290" s="56"/>
      <c r="C1290" s="37" t="s">
        <v>971</v>
      </c>
      <c r="D1290" s="37" t="s">
        <v>1140</v>
      </c>
      <c r="E1290" s="37" t="s">
        <v>816</v>
      </c>
      <c r="F1290" s="29" t="s">
        <v>73</v>
      </c>
      <c r="G1290" s="26">
        <v>8280.5</v>
      </c>
      <c r="H1290" s="26"/>
      <c r="I1290" s="26">
        <f t="shared" si="43"/>
        <v>0</v>
      </c>
    </row>
    <row r="1291" spans="1:9" ht="46.5" customHeight="1" hidden="1">
      <c r="A1291" s="297" t="s">
        <v>571</v>
      </c>
      <c r="B1291" s="23"/>
      <c r="C1291" s="37" t="s">
        <v>971</v>
      </c>
      <c r="D1291" s="37" t="s">
        <v>1140</v>
      </c>
      <c r="E1291" s="37" t="s">
        <v>371</v>
      </c>
      <c r="F1291" s="28" t="s">
        <v>572</v>
      </c>
      <c r="G1291" s="26"/>
      <c r="H1291" s="26"/>
      <c r="I1291" s="26" t="e">
        <f t="shared" si="43"/>
        <v>#DIV/0!</v>
      </c>
    </row>
    <row r="1292" spans="1:9" ht="60.75" customHeight="1" hidden="1">
      <c r="A1292" s="285" t="s">
        <v>511</v>
      </c>
      <c r="B1292" s="23"/>
      <c r="C1292" s="37" t="s">
        <v>372</v>
      </c>
      <c r="D1292" s="37" t="s">
        <v>1140</v>
      </c>
      <c r="E1292" s="37" t="s">
        <v>118</v>
      </c>
      <c r="F1292" s="28"/>
      <c r="G1292" s="26">
        <f>SUM(G1293)</f>
        <v>0</v>
      </c>
      <c r="H1292" s="26">
        <f>SUM(H1293)</f>
        <v>0</v>
      </c>
      <c r="I1292" s="26" t="e">
        <f t="shared" si="43"/>
        <v>#DIV/0!</v>
      </c>
    </row>
    <row r="1293" spans="1:9" ht="15" hidden="1">
      <c r="A1293" s="297" t="s">
        <v>141</v>
      </c>
      <c r="B1293" s="23"/>
      <c r="C1293" s="37" t="s">
        <v>372</v>
      </c>
      <c r="D1293" s="37" t="s">
        <v>1140</v>
      </c>
      <c r="E1293" s="37" t="s">
        <v>118</v>
      </c>
      <c r="F1293" s="28" t="s">
        <v>142</v>
      </c>
      <c r="G1293" s="26"/>
      <c r="H1293" s="26"/>
      <c r="I1293" s="26" t="e">
        <f t="shared" si="43"/>
        <v>#DIV/0!</v>
      </c>
    </row>
    <row r="1294" spans="1:9" ht="15">
      <c r="A1294" s="285" t="s">
        <v>119</v>
      </c>
      <c r="B1294" s="23"/>
      <c r="C1294" s="37" t="s">
        <v>971</v>
      </c>
      <c r="D1294" s="37" t="s">
        <v>1142</v>
      </c>
      <c r="E1294" s="37"/>
      <c r="F1294" s="28"/>
      <c r="G1294" s="26">
        <f>SUM(G1295+G1302+G1307+G1311)</f>
        <v>16463.2</v>
      </c>
      <c r="H1294" s="26">
        <f>SUM(H1295+H1302+H1307+H1311)</f>
        <v>31424.600000000002</v>
      </c>
      <c r="I1294" s="26">
        <f t="shared" si="43"/>
        <v>190.87783662957384</v>
      </c>
    </row>
    <row r="1295" spans="1:9" ht="15">
      <c r="A1295" s="285" t="s">
        <v>369</v>
      </c>
      <c r="B1295" s="23"/>
      <c r="C1295" s="37" t="s">
        <v>971</v>
      </c>
      <c r="D1295" s="37" t="s">
        <v>1142</v>
      </c>
      <c r="E1295" s="37" t="s">
        <v>370</v>
      </c>
      <c r="F1295" s="28"/>
      <c r="G1295" s="26">
        <f>SUM(G1296)</f>
        <v>7024.8</v>
      </c>
      <c r="H1295" s="26">
        <f>SUM(H1296)</f>
        <v>21799.8</v>
      </c>
      <c r="I1295" s="26">
        <f t="shared" si="43"/>
        <v>310.3262726340963</v>
      </c>
    </row>
    <row r="1296" spans="1:9" ht="15.75">
      <c r="A1296" s="285" t="s">
        <v>807</v>
      </c>
      <c r="B1296" s="96"/>
      <c r="C1296" s="37" t="s">
        <v>971</v>
      </c>
      <c r="D1296" s="37" t="s">
        <v>1142</v>
      </c>
      <c r="E1296" s="37" t="s">
        <v>773</v>
      </c>
      <c r="F1296" s="28"/>
      <c r="G1296" s="26">
        <f>SUM(G1298)</f>
        <v>7024.8</v>
      </c>
      <c r="H1296" s="26">
        <f>SUM(H1297:H1300)</f>
        <v>21799.8</v>
      </c>
      <c r="I1296" s="26">
        <f t="shared" si="43"/>
        <v>310.3262726340963</v>
      </c>
    </row>
    <row r="1297" spans="1:9" ht="38.25" customHeight="1">
      <c r="A1297" s="285" t="s">
        <v>817</v>
      </c>
      <c r="B1297" s="96"/>
      <c r="C1297" s="37" t="s">
        <v>971</v>
      </c>
      <c r="D1297" s="37" t="s">
        <v>1142</v>
      </c>
      <c r="E1297" s="37" t="s">
        <v>816</v>
      </c>
      <c r="F1297" s="28"/>
      <c r="G1297" s="26">
        <f>SUM(G1298)</f>
        <v>7024.8</v>
      </c>
      <c r="H1297" s="26">
        <v>21799.8</v>
      </c>
      <c r="I1297" s="26">
        <f t="shared" si="43"/>
        <v>310.3262726340963</v>
      </c>
    </row>
    <row r="1298" spans="1:9" ht="56.25" customHeight="1">
      <c r="A1298" s="297" t="s">
        <v>1018</v>
      </c>
      <c r="B1298" s="56"/>
      <c r="C1298" s="37" t="s">
        <v>971</v>
      </c>
      <c r="D1298" s="37" t="s">
        <v>1142</v>
      </c>
      <c r="E1298" s="37" t="s">
        <v>816</v>
      </c>
      <c r="F1298" s="29" t="s">
        <v>73</v>
      </c>
      <c r="G1298" s="26">
        <v>7024.8</v>
      </c>
      <c r="H1298" s="26"/>
      <c r="I1298" s="26">
        <f t="shared" si="43"/>
        <v>0</v>
      </c>
    </row>
    <row r="1299" spans="1:9" ht="18.75" customHeight="1" hidden="1">
      <c r="A1299" s="297" t="s">
        <v>571</v>
      </c>
      <c r="B1299" s="23"/>
      <c r="C1299" s="37" t="s">
        <v>971</v>
      </c>
      <c r="D1299" s="37" t="s">
        <v>1142</v>
      </c>
      <c r="E1299" s="37" t="s">
        <v>371</v>
      </c>
      <c r="F1299" s="28" t="s">
        <v>572</v>
      </c>
      <c r="G1299" s="26"/>
      <c r="H1299" s="26"/>
      <c r="I1299" s="26" t="e">
        <f t="shared" si="43"/>
        <v>#DIV/0!</v>
      </c>
    </row>
    <row r="1300" spans="1:9" ht="57.75" customHeight="1" hidden="1">
      <c r="A1300" s="285" t="s">
        <v>511</v>
      </c>
      <c r="B1300" s="23"/>
      <c r="C1300" s="37" t="s">
        <v>971</v>
      </c>
      <c r="D1300" s="37" t="s">
        <v>1142</v>
      </c>
      <c r="E1300" s="37" t="s">
        <v>118</v>
      </c>
      <c r="F1300" s="28"/>
      <c r="G1300" s="26">
        <f>SUM(G1301)</f>
        <v>0</v>
      </c>
      <c r="H1300" s="26">
        <f>SUM(H1301)</f>
        <v>0</v>
      </c>
      <c r="I1300" s="26" t="e">
        <f t="shared" si="43"/>
        <v>#DIV/0!</v>
      </c>
    </row>
    <row r="1301" spans="1:9" ht="15" hidden="1">
      <c r="A1301" s="297" t="s">
        <v>141</v>
      </c>
      <c r="B1301" s="23"/>
      <c r="C1301" s="37" t="s">
        <v>971</v>
      </c>
      <c r="D1301" s="37" t="s">
        <v>1142</v>
      </c>
      <c r="E1301" s="37" t="s">
        <v>118</v>
      </c>
      <c r="F1301" s="28" t="s">
        <v>142</v>
      </c>
      <c r="G1301" s="26"/>
      <c r="H1301" s="26"/>
      <c r="I1301" s="26" t="e">
        <f t="shared" si="43"/>
        <v>#DIV/0!</v>
      </c>
    </row>
    <row r="1302" spans="1:9" ht="22.5" customHeight="1">
      <c r="A1302" s="285" t="s">
        <v>120</v>
      </c>
      <c r="B1302" s="23"/>
      <c r="C1302" s="37" t="s">
        <v>971</v>
      </c>
      <c r="D1302" s="37" t="s">
        <v>1142</v>
      </c>
      <c r="E1302" s="37" t="s">
        <v>121</v>
      </c>
      <c r="F1302" s="28"/>
      <c r="G1302" s="26">
        <f>SUM(G1303)</f>
        <v>6804.8</v>
      </c>
      <c r="H1302" s="26">
        <f>SUM(H1303)</f>
        <v>7467.6</v>
      </c>
      <c r="I1302" s="26">
        <f t="shared" si="43"/>
        <v>109.74018339995297</v>
      </c>
    </row>
    <row r="1303" spans="1:9" ht="15">
      <c r="A1303" s="285" t="s">
        <v>807</v>
      </c>
      <c r="B1303" s="23"/>
      <c r="C1303" s="37" t="s">
        <v>971</v>
      </c>
      <c r="D1303" s="37" t="s">
        <v>1142</v>
      </c>
      <c r="E1303" s="37" t="s">
        <v>818</v>
      </c>
      <c r="F1303" s="28"/>
      <c r="G1303" s="26">
        <f>SUM(G1304:G1305)</f>
        <v>6804.8</v>
      </c>
      <c r="H1303" s="26">
        <f>SUM(H1304:H1305)</f>
        <v>7467.6</v>
      </c>
      <c r="I1303" s="26">
        <f t="shared" si="43"/>
        <v>109.74018339995297</v>
      </c>
    </row>
    <row r="1304" spans="1:9" ht="46.5" customHeight="1">
      <c r="A1304" s="297" t="s">
        <v>817</v>
      </c>
      <c r="B1304" s="23"/>
      <c r="C1304" s="37" t="s">
        <v>971</v>
      </c>
      <c r="D1304" s="37" t="s">
        <v>1142</v>
      </c>
      <c r="E1304" s="37" t="s">
        <v>819</v>
      </c>
      <c r="F1304" s="28"/>
      <c r="G1304" s="26">
        <f>SUM(G1306)</f>
        <v>6804.8</v>
      </c>
      <c r="H1304" s="26">
        <v>7467.6</v>
      </c>
      <c r="I1304" s="26">
        <f t="shared" si="43"/>
        <v>109.74018339995297</v>
      </c>
    </row>
    <row r="1305" spans="1:9" ht="0.75" customHeight="1" hidden="1">
      <c r="A1305" s="285" t="s">
        <v>511</v>
      </c>
      <c r="B1305" s="23"/>
      <c r="C1305" s="37" t="s">
        <v>971</v>
      </c>
      <c r="D1305" s="37" t="s">
        <v>1142</v>
      </c>
      <c r="E1305" s="37" t="s">
        <v>122</v>
      </c>
      <c r="F1305" s="28" t="s">
        <v>123</v>
      </c>
      <c r="G1305" s="26"/>
      <c r="H1305" s="26"/>
      <c r="I1305" s="26" t="e">
        <f t="shared" si="43"/>
        <v>#DIV/0!</v>
      </c>
    </row>
    <row r="1306" spans="1:9" ht="42.75">
      <c r="A1306" s="297" t="s">
        <v>1018</v>
      </c>
      <c r="B1306" s="23"/>
      <c r="C1306" s="37" t="s">
        <v>971</v>
      </c>
      <c r="D1306" s="37" t="s">
        <v>1142</v>
      </c>
      <c r="E1306" s="37" t="s">
        <v>820</v>
      </c>
      <c r="F1306" s="28" t="s">
        <v>73</v>
      </c>
      <c r="G1306" s="26">
        <v>6804.8</v>
      </c>
      <c r="H1306" s="26"/>
      <c r="I1306" s="26"/>
    </row>
    <row r="1307" spans="1:9" ht="15">
      <c r="A1307" s="285" t="s">
        <v>124</v>
      </c>
      <c r="B1307" s="23"/>
      <c r="C1307" s="37" t="s">
        <v>971</v>
      </c>
      <c r="D1307" s="37" t="s">
        <v>1142</v>
      </c>
      <c r="E1307" s="37" t="s">
        <v>125</v>
      </c>
      <c r="F1307" s="28"/>
      <c r="G1307" s="26">
        <f>SUM(G1308)</f>
        <v>2067.6</v>
      </c>
      <c r="H1307" s="26">
        <f>SUM(H1308)</f>
        <v>1817.2</v>
      </c>
      <c r="I1307" s="26">
        <f t="shared" si="43"/>
        <v>87.88934029792998</v>
      </c>
    </row>
    <row r="1308" spans="1:9" ht="15.75">
      <c r="A1308" s="285" t="s">
        <v>807</v>
      </c>
      <c r="B1308" s="96"/>
      <c r="C1308" s="37" t="s">
        <v>971</v>
      </c>
      <c r="D1308" s="37" t="s">
        <v>1142</v>
      </c>
      <c r="E1308" s="37" t="s">
        <v>774</v>
      </c>
      <c r="F1308" s="28"/>
      <c r="G1308" s="26">
        <f>SUM(G1310)</f>
        <v>2067.6</v>
      </c>
      <c r="H1308" s="26">
        <f>SUM(H1309:H1310)</f>
        <v>1817.2</v>
      </c>
      <c r="I1308" s="26">
        <f t="shared" si="43"/>
        <v>87.88934029792998</v>
      </c>
    </row>
    <row r="1309" spans="1:9" ht="40.5" customHeight="1">
      <c r="A1309" s="285" t="s">
        <v>817</v>
      </c>
      <c r="B1309" s="96"/>
      <c r="C1309" s="37" t="s">
        <v>971</v>
      </c>
      <c r="D1309" s="37" t="s">
        <v>1142</v>
      </c>
      <c r="E1309" s="37" t="s">
        <v>821</v>
      </c>
      <c r="F1309" s="28"/>
      <c r="G1309" s="26">
        <f>SUM(G1310)</f>
        <v>2067.6</v>
      </c>
      <c r="H1309" s="26">
        <v>1817.2</v>
      </c>
      <c r="I1309" s="26">
        <f t="shared" si="43"/>
        <v>87.88934029792998</v>
      </c>
    </row>
    <row r="1310" spans="1:9" ht="58.5" customHeight="1">
      <c r="A1310" s="297" t="s">
        <v>1018</v>
      </c>
      <c r="B1310" s="56"/>
      <c r="C1310" s="37" t="s">
        <v>971</v>
      </c>
      <c r="D1310" s="37" t="s">
        <v>1142</v>
      </c>
      <c r="E1310" s="37" t="s">
        <v>821</v>
      </c>
      <c r="F1310" s="29" t="s">
        <v>73</v>
      </c>
      <c r="G1310" s="26">
        <v>2067.6</v>
      </c>
      <c r="H1310" s="26"/>
      <c r="I1310" s="26">
        <f t="shared" si="43"/>
        <v>0</v>
      </c>
    </row>
    <row r="1311" spans="1:9" ht="15">
      <c r="A1311" s="342" t="s">
        <v>544</v>
      </c>
      <c r="B1311" s="23"/>
      <c r="C1311" s="37" t="s">
        <v>971</v>
      </c>
      <c r="D1311" s="37" t="s">
        <v>1142</v>
      </c>
      <c r="E1311" s="37" t="s">
        <v>545</v>
      </c>
      <c r="F1311" s="28"/>
      <c r="G1311" s="26">
        <f>SUM(G1312)</f>
        <v>566</v>
      </c>
      <c r="H1311" s="26">
        <f>SUM(H1312)</f>
        <v>340</v>
      </c>
      <c r="I1311" s="26">
        <f t="shared" si="43"/>
        <v>60.07067137809188</v>
      </c>
    </row>
    <row r="1312" spans="1:9" ht="42.75">
      <c r="A1312" s="287" t="s">
        <v>126</v>
      </c>
      <c r="B1312" s="23"/>
      <c r="C1312" s="37" t="s">
        <v>971</v>
      </c>
      <c r="D1312" s="37" t="s">
        <v>1142</v>
      </c>
      <c r="E1312" s="37" t="s">
        <v>127</v>
      </c>
      <c r="F1312" s="28"/>
      <c r="G1312" s="26">
        <f>SUM(G1313)</f>
        <v>566</v>
      </c>
      <c r="H1312" s="26">
        <f>SUM(H1313)</f>
        <v>340</v>
      </c>
      <c r="I1312" s="26">
        <f t="shared" si="43"/>
        <v>60.07067137809188</v>
      </c>
    </row>
    <row r="1313" spans="1:9" ht="15">
      <c r="A1313" s="297" t="s">
        <v>316</v>
      </c>
      <c r="B1313" s="23"/>
      <c r="C1313" s="37" t="s">
        <v>971</v>
      </c>
      <c r="D1313" s="37" t="s">
        <v>1142</v>
      </c>
      <c r="E1313" s="37" t="s">
        <v>127</v>
      </c>
      <c r="F1313" s="29" t="s">
        <v>772</v>
      </c>
      <c r="G1313" s="26">
        <v>566</v>
      </c>
      <c r="H1313" s="26">
        <v>340</v>
      </c>
      <c r="I1313" s="26">
        <f t="shared" si="43"/>
        <v>60.07067137809188</v>
      </c>
    </row>
    <row r="1314" spans="1:9" ht="15" hidden="1">
      <c r="A1314" s="345" t="s">
        <v>128</v>
      </c>
      <c r="B1314" s="66"/>
      <c r="C1314" s="37" t="s">
        <v>971</v>
      </c>
      <c r="D1314" s="37" t="s">
        <v>1150</v>
      </c>
      <c r="E1314" s="37"/>
      <c r="F1314" s="28"/>
      <c r="G1314" s="26">
        <f>SUM(G1315)</f>
        <v>0</v>
      </c>
      <c r="H1314" s="26">
        <f>SUM(H1315)</f>
        <v>9494.7</v>
      </c>
      <c r="I1314" s="26" t="e">
        <f t="shared" si="43"/>
        <v>#DIV/0!</v>
      </c>
    </row>
    <row r="1315" spans="1:9" ht="15" hidden="1">
      <c r="A1315" s="345" t="s">
        <v>129</v>
      </c>
      <c r="B1315" s="66"/>
      <c r="C1315" s="37" t="s">
        <v>971</v>
      </c>
      <c r="D1315" s="37" t="s">
        <v>1150</v>
      </c>
      <c r="E1315" s="37" t="s">
        <v>370</v>
      </c>
      <c r="F1315" s="28"/>
      <c r="G1315" s="26">
        <f>SUM(G1316)</f>
        <v>0</v>
      </c>
      <c r="H1315" s="26">
        <f>SUM(H1316)</f>
        <v>9494.7</v>
      </c>
      <c r="I1315" s="26" t="e">
        <f t="shared" si="43"/>
        <v>#DIV/0!</v>
      </c>
    </row>
    <row r="1316" spans="1:9" ht="15" hidden="1">
      <c r="A1316" s="302" t="s">
        <v>139</v>
      </c>
      <c r="B1316" s="66"/>
      <c r="C1316" s="37" t="s">
        <v>971</v>
      </c>
      <c r="D1316" s="37" t="s">
        <v>1150</v>
      </c>
      <c r="E1316" s="37" t="s">
        <v>371</v>
      </c>
      <c r="F1316" s="28"/>
      <c r="G1316" s="26">
        <f>SUM(G1317:G1318)</f>
        <v>0</v>
      </c>
      <c r="H1316" s="26">
        <f>SUM(H1317:H1318)</f>
        <v>9494.7</v>
      </c>
      <c r="I1316" s="26" t="e">
        <f t="shared" si="43"/>
        <v>#DIV/0!</v>
      </c>
    </row>
    <row r="1317" spans="1:9" ht="15" hidden="1">
      <c r="A1317" s="302" t="s">
        <v>141</v>
      </c>
      <c r="B1317" s="66"/>
      <c r="C1317" s="37" t="s">
        <v>971</v>
      </c>
      <c r="D1317" s="37" t="s">
        <v>1150</v>
      </c>
      <c r="E1317" s="37" t="s">
        <v>371</v>
      </c>
      <c r="F1317" s="28" t="s">
        <v>142</v>
      </c>
      <c r="G1317" s="26"/>
      <c r="H1317" s="26">
        <v>9494.7</v>
      </c>
      <c r="I1317" s="26" t="e">
        <f t="shared" si="43"/>
        <v>#DIV/0!</v>
      </c>
    </row>
    <row r="1318" spans="1:9" ht="58.5" customHeight="1" hidden="1">
      <c r="A1318" s="285" t="s">
        <v>511</v>
      </c>
      <c r="B1318" s="23"/>
      <c r="C1318" s="37" t="s">
        <v>971</v>
      </c>
      <c r="D1318" s="37" t="s">
        <v>1150</v>
      </c>
      <c r="E1318" s="37" t="s">
        <v>122</v>
      </c>
      <c r="F1318" s="28" t="s">
        <v>123</v>
      </c>
      <c r="G1318" s="26"/>
      <c r="H1318" s="26"/>
      <c r="I1318" s="26" t="e">
        <f t="shared" si="43"/>
        <v>#DIV/0!</v>
      </c>
    </row>
    <row r="1319" spans="1:9" ht="21" customHeight="1">
      <c r="A1319" s="297" t="s">
        <v>130</v>
      </c>
      <c r="B1319" s="23"/>
      <c r="C1319" s="37" t="s">
        <v>971</v>
      </c>
      <c r="D1319" s="37" t="s">
        <v>1174</v>
      </c>
      <c r="E1319" s="37"/>
      <c r="F1319" s="28"/>
      <c r="G1319" s="26">
        <f>SUM(G1322+G1326+G1320)</f>
        <v>59617.600000000006</v>
      </c>
      <c r="H1319" s="26">
        <f>SUM(H1322+H1326+H1320)</f>
        <v>40136</v>
      </c>
      <c r="I1319" s="26">
        <f t="shared" si="43"/>
        <v>67.32240143850137</v>
      </c>
    </row>
    <row r="1320" spans="1:9" ht="15" hidden="1">
      <c r="A1320" s="297" t="s">
        <v>638</v>
      </c>
      <c r="B1320" s="23"/>
      <c r="C1320" s="37" t="s">
        <v>971</v>
      </c>
      <c r="D1320" s="37" t="s">
        <v>1174</v>
      </c>
      <c r="E1320" s="37" t="s">
        <v>639</v>
      </c>
      <c r="F1320" s="28"/>
      <c r="G1320" s="26">
        <f>SUM(G1321)</f>
        <v>0</v>
      </c>
      <c r="H1320" s="26">
        <f>SUM(H1321)</f>
        <v>60</v>
      </c>
      <c r="I1320" s="26" t="e">
        <f t="shared" si="43"/>
        <v>#DIV/0!</v>
      </c>
    </row>
    <row r="1321" spans="1:9" ht="15" hidden="1">
      <c r="A1321" s="297" t="s">
        <v>141</v>
      </c>
      <c r="B1321" s="23"/>
      <c r="C1321" s="37" t="s">
        <v>971</v>
      </c>
      <c r="D1321" s="37" t="s">
        <v>1174</v>
      </c>
      <c r="E1321" s="37" t="s">
        <v>639</v>
      </c>
      <c r="F1321" s="28" t="s">
        <v>142</v>
      </c>
      <c r="G1321" s="26"/>
      <c r="H1321" s="26">
        <v>60</v>
      </c>
      <c r="I1321" s="26" t="e">
        <f t="shared" si="43"/>
        <v>#DIV/0!</v>
      </c>
    </row>
    <row r="1322" spans="1:9" ht="15">
      <c r="A1322" s="285" t="s">
        <v>131</v>
      </c>
      <c r="B1322" s="23"/>
      <c r="C1322" s="37" t="s">
        <v>971</v>
      </c>
      <c r="D1322" s="37" t="s">
        <v>1174</v>
      </c>
      <c r="E1322" s="37" t="s">
        <v>132</v>
      </c>
      <c r="F1322" s="28"/>
      <c r="G1322" s="26">
        <f>SUM(G1323)</f>
        <v>50578.3</v>
      </c>
      <c r="H1322" s="26">
        <f>SUM(H1323)</f>
        <v>34637.7</v>
      </c>
      <c r="I1322" s="26">
        <f t="shared" si="43"/>
        <v>68.48332189891711</v>
      </c>
    </row>
    <row r="1323" spans="1:9" ht="28.5">
      <c r="A1323" s="285" t="s">
        <v>493</v>
      </c>
      <c r="B1323" s="23"/>
      <c r="C1323" s="37" t="s">
        <v>971</v>
      </c>
      <c r="D1323" s="37" t="s">
        <v>1174</v>
      </c>
      <c r="E1323" s="37" t="s">
        <v>133</v>
      </c>
      <c r="F1323" s="28"/>
      <c r="G1323" s="26">
        <f>SUM(G1324:G1325)</f>
        <v>50578.3</v>
      </c>
      <c r="H1323" s="26">
        <f>SUM(H1324:H1325)</f>
        <v>34637.7</v>
      </c>
      <c r="I1323" s="26">
        <f t="shared" si="43"/>
        <v>68.48332189891711</v>
      </c>
    </row>
    <row r="1324" spans="1:9" ht="14.25" customHeight="1">
      <c r="A1324" s="297" t="s">
        <v>494</v>
      </c>
      <c r="B1324" s="23"/>
      <c r="C1324" s="37" t="s">
        <v>971</v>
      </c>
      <c r="D1324" s="37" t="s">
        <v>1174</v>
      </c>
      <c r="E1324" s="37" t="s">
        <v>133</v>
      </c>
      <c r="F1324" s="28" t="s">
        <v>142</v>
      </c>
      <c r="G1324" s="26">
        <v>50578.3</v>
      </c>
      <c r="H1324" s="26">
        <v>34637.7</v>
      </c>
      <c r="I1324" s="26">
        <f t="shared" si="43"/>
        <v>68.48332189891711</v>
      </c>
    </row>
    <row r="1325" spans="1:9" ht="62.25" customHeight="1" hidden="1">
      <c r="A1325" s="285" t="s">
        <v>511</v>
      </c>
      <c r="B1325" s="23"/>
      <c r="C1325" s="37" t="s">
        <v>971</v>
      </c>
      <c r="D1325" s="37" t="s">
        <v>1174</v>
      </c>
      <c r="E1325" s="37" t="s">
        <v>133</v>
      </c>
      <c r="F1325" s="28" t="s">
        <v>123</v>
      </c>
      <c r="G1325" s="26"/>
      <c r="H1325" s="26"/>
      <c r="I1325" s="26" t="e">
        <f t="shared" si="43"/>
        <v>#DIV/0!</v>
      </c>
    </row>
    <row r="1326" spans="1:9" ht="15">
      <c r="A1326" s="342" t="s">
        <v>544</v>
      </c>
      <c r="B1326" s="23"/>
      <c r="C1326" s="37" t="s">
        <v>971</v>
      </c>
      <c r="D1326" s="37" t="s">
        <v>1174</v>
      </c>
      <c r="E1326" s="37" t="s">
        <v>545</v>
      </c>
      <c r="F1326" s="28"/>
      <c r="G1326" s="26">
        <f>SUM(G1327)</f>
        <v>9039.3</v>
      </c>
      <c r="H1326" s="26">
        <f>SUM(H1327)</f>
        <v>5438.3</v>
      </c>
      <c r="I1326" s="26">
        <f t="shared" si="43"/>
        <v>60.162844468045094</v>
      </c>
    </row>
    <row r="1327" spans="1:9" ht="42.75">
      <c r="A1327" s="287" t="s">
        <v>126</v>
      </c>
      <c r="B1327" s="23"/>
      <c r="C1327" s="37" t="s">
        <v>971</v>
      </c>
      <c r="D1327" s="37" t="s">
        <v>1174</v>
      </c>
      <c r="E1327" s="37" t="s">
        <v>127</v>
      </c>
      <c r="F1327" s="28"/>
      <c r="G1327" s="26">
        <f>SUM(G1328)</f>
        <v>9039.3</v>
      </c>
      <c r="H1327" s="26">
        <f>SUM(H1328)</f>
        <v>5438.3</v>
      </c>
      <c r="I1327" s="26">
        <f t="shared" si="43"/>
        <v>60.162844468045094</v>
      </c>
    </row>
    <row r="1328" spans="1:9" ht="15">
      <c r="A1328" s="297" t="s">
        <v>494</v>
      </c>
      <c r="B1328" s="23"/>
      <c r="C1328" s="37" t="s">
        <v>971</v>
      </c>
      <c r="D1328" s="37" t="s">
        <v>1174</v>
      </c>
      <c r="E1328" s="37" t="s">
        <v>127</v>
      </c>
      <c r="F1328" s="28" t="s">
        <v>142</v>
      </c>
      <c r="G1328" s="26">
        <v>9039.3</v>
      </c>
      <c r="H1328" s="26">
        <v>5438.3</v>
      </c>
      <c r="I1328" s="26">
        <f t="shared" si="43"/>
        <v>60.162844468045094</v>
      </c>
    </row>
    <row r="1329" spans="1:9" ht="15" hidden="1">
      <c r="A1329" s="287" t="s">
        <v>990</v>
      </c>
      <c r="B1329" s="23"/>
      <c r="C1329" s="37" t="s">
        <v>971</v>
      </c>
      <c r="D1329" s="37" t="s">
        <v>1140</v>
      </c>
      <c r="E1329" s="37" t="s">
        <v>880</v>
      </c>
      <c r="F1329" s="25"/>
      <c r="G1329" s="26">
        <f>SUM(G1330)</f>
        <v>0</v>
      </c>
      <c r="H1329" s="26">
        <f>SUM(H1330)</f>
        <v>0</v>
      </c>
      <c r="I1329" s="26" t="e">
        <f t="shared" si="43"/>
        <v>#DIV/0!</v>
      </c>
    </row>
    <row r="1330" spans="1:9" ht="28.5" hidden="1">
      <c r="A1330" s="285" t="s">
        <v>574</v>
      </c>
      <c r="B1330" s="23"/>
      <c r="C1330" s="37" t="s">
        <v>971</v>
      </c>
      <c r="D1330" s="37" t="s">
        <v>1140</v>
      </c>
      <c r="E1330" s="37" t="s">
        <v>880</v>
      </c>
      <c r="F1330" s="25" t="s">
        <v>881</v>
      </c>
      <c r="G1330" s="26"/>
      <c r="H1330" s="26"/>
      <c r="I1330" s="26" t="e">
        <f t="shared" si="43"/>
        <v>#DIV/0!</v>
      </c>
    </row>
    <row r="1331" spans="1:9" ht="15">
      <c r="A1331" s="292" t="s">
        <v>115</v>
      </c>
      <c r="B1331" s="36"/>
      <c r="C1331" s="37" t="s">
        <v>971</v>
      </c>
      <c r="D1331" s="37" t="s">
        <v>971</v>
      </c>
      <c r="E1331" s="37"/>
      <c r="F1331" s="28"/>
      <c r="G1331" s="26">
        <f>SUM(G1332+G1336+G1341)</f>
        <v>11582.8</v>
      </c>
      <c r="H1331" s="26" t="e">
        <f>SUM(H1332+H1336+#REF!+H1341)</f>
        <v>#REF!</v>
      </c>
      <c r="I1331" s="26" t="e">
        <f t="shared" si="43"/>
        <v>#REF!</v>
      </c>
    </row>
    <row r="1332" spans="1:9" ht="28.5">
      <c r="A1332" s="292" t="s">
        <v>366</v>
      </c>
      <c r="B1332" s="23"/>
      <c r="C1332" s="37" t="s">
        <v>971</v>
      </c>
      <c r="D1332" s="37" t="s">
        <v>971</v>
      </c>
      <c r="E1332" s="37" t="s">
        <v>367</v>
      </c>
      <c r="F1332" s="28"/>
      <c r="G1332" s="26">
        <f>SUM(G1333)</f>
        <v>9082.8</v>
      </c>
      <c r="H1332" s="26">
        <f>SUM(H1333)</f>
        <v>6864.8</v>
      </c>
      <c r="I1332" s="26">
        <f t="shared" si="43"/>
        <v>75.58021755405822</v>
      </c>
    </row>
    <row r="1333" spans="1:9" ht="28.5">
      <c r="A1333" s="285" t="s">
        <v>493</v>
      </c>
      <c r="B1333" s="23"/>
      <c r="C1333" s="37" t="s">
        <v>971</v>
      </c>
      <c r="D1333" s="37" t="s">
        <v>971</v>
      </c>
      <c r="E1333" s="37" t="s">
        <v>368</v>
      </c>
      <c r="F1333" s="28"/>
      <c r="G1333" s="26">
        <f>SUM(G1334:G1335)</f>
        <v>9082.8</v>
      </c>
      <c r="H1333" s="26">
        <f>SUM(H1334:H1335)</f>
        <v>6864.8</v>
      </c>
      <c r="I1333" s="26">
        <f t="shared" si="43"/>
        <v>75.58021755405822</v>
      </c>
    </row>
    <row r="1334" spans="1:9" ht="17.25" customHeight="1">
      <c r="A1334" s="297" t="s">
        <v>494</v>
      </c>
      <c r="B1334" s="23"/>
      <c r="C1334" s="37" t="s">
        <v>971</v>
      </c>
      <c r="D1334" s="37" t="s">
        <v>971</v>
      </c>
      <c r="E1334" s="37" t="s">
        <v>368</v>
      </c>
      <c r="F1334" s="28" t="s">
        <v>142</v>
      </c>
      <c r="G1334" s="26">
        <v>9082.8</v>
      </c>
      <c r="H1334" s="26">
        <v>6864.8</v>
      </c>
      <c r="I1334" s="26">
        <f t="shared" si="43"/>
        <v>75.58021755405822</v>
      </c>
    </row>
    <row r="1335" spans="1:9" ht="42.75" hidden="1">
      <c r="A1335" s="285" t="s">
        <v>511</v>
      </c>
      <c r="B1335" s="23"/>
      <c r="C1335" s="37" t="s">
        <v>971</v>
      </c>
      <c r="D1335" s="37" t="s">
        <v>971</v>
      </c>
      <c r="E1335" s="37" t="s">
        <v>368</v>
      </c>
      <c r="F1335" s="28" t="s">
        <v>123</v>
      </c>
      <c r="G1335" s="26"/>
      <c r="H1335" s="26"/>
      <c r="I1335" s="26" t="e">
        <f t="shared" si="43"/>
        <v>#DIV/0!</v>
      </c>
    </row>
    <row r="1336" spans="1:9" ht="15" hidden="1">
      <c r="A1336" s="285" t="s">
        <v>990</v>
      </c>
      <c r="B1336" s="23"/>
      <c r="C1336" s="37" t="s">
        <v>971</v>
      </c>
      <c r="D1336" s="37" t="s">
        <v>971</v>
      </c>
      <c r="E1336" s="37" t="s">
        <v>991</v>
      </c>
      <c r="F1336" s="28"/>
      <c r="G1336" s="26">
        <f>SUM(G1337+G1339)</f>
        <v>0</v>
      </c>
      <c r="H1336" s="26">
        <f>SUM(H1337+H1339)</f>
        <v>0</v>
      </c>
      <c r="I1336" s="26" t="e">
        <f t="shared" si="43"/>
        <v>#DIV/0!</v>
      </c>
    </row>
    <row r="1337" spans="1:9" ht="28.5" hidden="1">
      <c r="A1337" s="297" t="s">
        <v>925</v>
      </c>
      <c r="B1337" s="56"/>
      <c r="C1337" s="37" t="s">
        <v>971</v>
      </c>
      <c r="D1337" s="37" t="s">
        <v>971</v>
      </c>
      <c r="E1337" s="37" t="s">
        <v>926</v>
      </c>
      <c r="F1337" s="29"/>
      <c r="G1337" s="26">
        <f>SUM(G1338)</f>
        <v>0</v>
      </c>
      <c r="H1337" s="26">
        <f>SUM(H1338)</f>
        <v>0</v>
      </c>
      <c r="I1337" s="26" t="e">
        <f t="shared" si="43"/>
        <v>#DIV/0!</v>
      </c>
    </row>
    <row r="1338" spans="1:9" ht="28.5" hidden="1">
      <c r="A1338" s="285" t="s">
        <v>574</v>
      </c>
      <c r="B1338" s="56"/>
      <c r="C1338" s="37" t="s">
        <v>971</v>
      </c>
      <c r="D1338" s="37" t="s">
        <v>971</v>
      </c>
      <c r="E1338" s="37" t="s">
        <v>926</v>
      </c>
      <c r="F1338" s="29" t="s">
        <v>924</v>
      </c>
      <c r="G1338" s="26"/>
      <c r="H1338" s="26"/>
      <c r="I1338" s="26" t="e">
        <f t="shared" si="43"/>
        <v>#DIV/0!</v>
      </c>
    </row>
    <row r="1339" spans="1:9" ht="28.5" hidden="1">
      <c r="A1339" s="285" t="s">
        <v>107</v>
      </c>
      <c r="B1339" s="23"/>
      <c r="C1339" s="37" t="s">
        <v>971</v>
      </c>
      <c r="D1339" s="37" t="s">
        <v>971</v>
      </c>
      <c r="E1339" s="37" t="s">
        <v>108</v>
      </c>
      <c r="F1339" s="28"/>
      <c r="G1339" s="26">
        <f>SUM(G1340)</f>
        <v>0</v>
      </c>
      <c r="H1339" s="26">
        <f>SUM(H1340)</f>
        <v>0</v>
      </c>
      <c r="I1339" s="26" t="e">
        <f t="shared" si="43"/>
        <v>#DIV/0!</v>
      </c>
    </row>
    <row r="1340" spans="1:9" ht="27.75" customHeight="1" hidden="1">
      <c r="A1340" s="285" t="s">
        <v>574</v>
      </c>
      <c r="B1340" s="23"/>
      <c r="C1340" s="37" t="s">
        <v>971</v>
      </c>
      <c r="D1340" s="37" t="s">
        <v>971</v>
      </c>
      <c r="E1340" s="37" t="s">
        <v>108</v>
      </c>
      <c r="F1340" s="28" t="s">
        <v>924</v>
      </c>
      <c r="G1340" s="26"/>
      <c r="H1340" s="26"/>
      <c r="I1340" s="26" t="e">
        <f t="shared" si="43"/>
        <v>#DIV/0!</v>
      </c>
    </row>
    <row r="1341" spans="1:9" ht="23.25" customHeight="1">
      <c r="A1341" s="297" t="s">
        <v>1186</v>
      </c>
      <c r="B1341" s="36"/>
      <c r="C1341" s="37" t="s">
        <v>971</v>
      </c>
      <c r="D1341" s="37" t="s">
        <v>971</v>
      </c>
      <c r="E1341" s="37" t="s">
        <v>1187</v>
      </c>
      <c r="F1341" s="28"/>
      <c r="G1341" s="26">
        <f>SUM(G1342+G1346)</f>
        <v>2500</v>
      </c>
      <c r="H1341" s="26">
        <f>SUM(H1342)</f>
        <v>1831.4</v>
      </c>
      <c r="I1341" s="26">
        <f t="shared" si="43"/>
        <v>73.256</v>
      </c>
    </row>
    <row r="1342" spans="1:9" ht="0.75" customHeight="1" hidden="1">
      <c r="A1342" s="285" t="s">
        <v>530</v>
      </c>
      <c r="B1342" s="36"/>
      <c r="C1342" s="37" t="s">
        <v>971</v>
      </c>
      <c r="D1342" s="37" t="s">
        <v>971</v>
      </c>
      <c r="E1342" s="37" t="s">
        <v>1187</v>
      </c>
      <c r="F1342" s="28" t="s">
        <v>924</v>
      </c>
      <c r="G1342" s="26"/>
      <c r="H1342" s="26">
        <f>SUM(H1344:H1353)</f>
        <v>1831.4</v>
      </c>
      <c r="I1342" s="26" t="e">
        <f t="shared" si="43"/>
        <v>#DIV/0!</v>
      </c>
    </row>
    <row r="1343" spans="1:9" ht="28.5" hidden="1">
      <c r="A1343" s="285" t="s">
        <v>109</v>
      </c>
      <c r="B1343" s="107"/>
      <c r="C1343" s="37" t="s">
        <v>971</v>
      </c>
      <c r="D1343" s="37" t="s">
        <v>971</v>
      </c>
      <c r="E1343" s="37" t="s">
        <v>110</v>
      </c>
      <c r="F1343" s="28"/>
      <c r="G1343" s="26"/>
      <c r="H1343" s="26"/>
      <c r="I1343" s="26" t="e">
        <f t="shared" si="43"/>
        <v>#DIV/0!</v>
      </c>
    </row>
    <row r="1344" spans="1:9" ht="27.75" customHeight="1" hidden="1">
      <c r="A1344" s="285" t="s">
        <v>109</v>
      </c>
      <c r="B1344" s="107"/>
      <c r="C1344" s="37" t="s">
        <v>971</v>
      </c>
      <c r="D1344" s="37" t="s">
        <v>971</v>
      </c>
      <c r="E1344" s="37" t="s">
        <v>110</v>
      </c>
      <c r="F1344" s="28" t="s">
        <v>924</v>
      </c>
      <c r="G1344" s="54"/>
      <c r="H1344" s="54"/>
      <c r="I1344" s="26" t="e">
        <f t="shared" si="43"/>
        <v>#DIV/0!</v>
      </c>
    </row>
    <row r="1345" spans="1:9" ht="59.25" customHeight="1" hidden="1">
      <c r="A1345" s="285" t="s">
        <v>964</v>
      </c>
      <c r="B1345" s="107"/>
      <c r="C1345" s="37" t="s">
        <v>971</v>
      </c>
      <c r="D1345" s="37" t="s">
        <v>971</v>
      </c>
      <c r="E1345" s="37" t="s">
        <v>965</v>
      </c>
      <c r="F1345" s="28" t="s">
        <v>924</v>
      </c>
      <c r="G1345" s="54"/>
      <c r="H1345" s="54"/>
      <c r="I1345" s="26"/>
    </row>
    <row r="1346" spans="1:9" ht="40.5" customHeight="1">
      <c r="A1346" s="285" t="s">
        <v>667</v>
      </c>
      <c r="B1346" s="107"/>
      <c r="C1346" s="37" t="s">
        <v>971</v>
      </c>
      <c r="D1346" s="37" t="s">
        <v>971</v>
      </c>
      <c r="E1346" s="37" t="s">
        <v>668</v>
      </c>
      <c r="F1346" s="28"/>
      <c r="G1346" s="54">
        <f>SUM(G1347)</f>
        <v>2500</v>
      </c>
      <c r="H1346" s="54"/>
      <c r="I1346" s="26"/>
    </row>
    <row r="1347" spans="1:9" ht="28.5" customHeight="1" thickBot="1">
      <c r="A1347" s="297" t="s">
        <v>316</v>
      </c>
      <c r="B1347" s="23"/>
      <c r="C1347" s="37" t="s">
        <v>971</v>
      </c>
      <c r="D1347" s="37" t="s">
        <v>971</v>
      </c>
      <c r="E1347" s="37" t="s">
        <v>668</v>
      </c>
      <c r="F1347" s="29" t="s">
        <v>772</v>
      </c>
      <c r="G1347" s="26">
        <v>2500</v>
      </c>
      <c r="H1347" s="26">
        <v>340</v>
      </c>
      <c r="I1347" s="26">
        <f>SUM(H1347/G1347*100)</f>
        <v>13.600000000000001</v>
      </c>
    </row>
    <row r="1348" spans="1:9" ht="1.5" customHeight="1" hidden="1" thickBot="1">
      <c r="A1348" s="299" t="s">
        <v>601</v>
      </c>
      <c r="B1348" s="108"/>
      <c r="C1348" s="33" t="s">
        <v>971</v>
      </c>
      <c r="D1348" s="37" t="s">
        <v>971</v>
      </c>
      <c r="E1348" s="33" t="s">
        <v>602</v>
      </c>
      <c r="F1348" s="103" t="s">
        <v>924</v>
      </c>
      <c r="G1348" s="54"/>
      <c r="H1348" s="54">
        <v>1424.2</v>
      </c>
      <c r="I1348" s="26" t="e">
        <f aca="true" t="shared" si="44" ref="I1348:I1354">SUM(H1348/G1348*100)</f>
        <v>#DIV/0!</v>
      </c>
    </row>
    <row r="1349" spans="1:9" ht="29.25" hidden="1" thickBot="1">
      <c r="A1349" s="299" t="s">
        <v>882</v>
      </c>
      <c r="B1349" s="108"/>
      <c r="C1349" s="33" t="s">
        <v>971</v>
      </c>
      <c r="D1349" s="37" t="s">
        <v>971</v>
      </c>
      <c r="E1349" s="33" t="s">
        <v>604</v>
      </c>
      <c r="F1349" s="103" t="s">
        <v>924</v>
      </c>
      <c r="G1349" s="54"/>
      <c r="H1349" s="54">
        <v>67.2</v>
      </c>
      <c r="I1349" s="26" t="e">
        <f t="shared" si="44"/>
        <v>#DIV/0!</v>
      </c>
    </row>
    <row r="1350" spans="1:9" ht="29.25" hidden="1" thickBot="1">
      <c r="A1350" s="299" t="s">
        <v>605</v>
      </c>
      <c r="B1350" s="108"/>
      <c r="C1350" s="33" t="s">
        <v>971</v>
      </c>
      <c r="D1350" s="33" t="s">
        <v>998</v>
      </c>
      <c r="E1350" s="33" t="s">
        <v>303</v>
      </c>
      <c r="F1350" s="103" t="s">
        <v>924</v>
      </c>
      <c r="G1350" s="54"/>
      <c r="H1350" s="54"/>
      <c r="I1350" s="26" t="e">
        <f t="shared" si="44"/>
        <v>#DIV/0!</v>
      </c>
    </row>
    <row r="1351" spans="1:9" ht="0.75" customHeight="1" hidden="1" thickBot="1">
      <c r="A1351" s="299" t="s">
        <v>304</v>
      </c>
      <c r="B1351" s="108"/>
      <c r="C1351" s="33" t="s">
        <v>971</v>
      </c>
      <c r="D1351" s="33" t="s">
        <v>998</v>
      </c>
      <c r="E1351" s="33" t="s">
        <v>305</v>
      </c>
      <c r="F1351" s="103" t="s">
        <v>924</v>
      </c>
      <c r="G1351" s="54"/>
      <c r="H1351" s="54"/>
      <c r="I1351" s="26" t="e">
        <f t="shared" si="44"/>
        <v>#DIV/0!</v>
      </c>
    </row>
    <row r="1352" spans="1:9" ht="28.5" customHeight="1" hidden="1" thickBot="1">
      <c r="A1352" s="342" t="s">
        <v>607</v>
      </c>
      <c r="B1352" s="108"/>
      <c r="C1352" s="33" t="s">
        <v>971</v>
      </c>
      <c r="D1352" s="33" t="s">
        <v>998</v>
      </c>
      <c r="E1352" s="33" t="s">
        <v>608</v>
      </c>
      <c r="F1352" s="103" t="s">
        <v>924</v>
      </c>
      <c r="G1352" s="54"/>
      <c r="H1352" s="54"/>
      <c r="I1352" s="26" t="e">
        <f t="shared" si="44"/>
        <v>#DIV/0!</v>
      </c>
    </row>
    <row r="1353" spans="1:9" ht="28.5" customHeight="1" hidden="1" thickBot="1">
      <c r="A1353" s="348" t="s">
        <v>700</v>
      </c>
      <c r="B1353" s="172"/>
      <c r="C1353" s="173" t="s">
        <v>971</v>
      </c>
      <c r="D1353" s="173" t="s">
        <v>998</v>
      </c>
      <c r="E1353" s="173" t="s">
        <v>701</v>
      </c>
      <c r="F1353" s="174" t="s">
        <v>924</v>
      </c>
      <c r="G1353" s="175"/>
      <c r="H1353" s="175"/>
      <c r="I1353" s="117" t="e">
        <f t="shared" si="44"/>
        <v>#DIV/0!</v>
      </c>
    </row>
    <row r="1354" spans="1:9" ht="30" customHeight="1" thickBot="1">
      <c r="A1354" s="305" t="s">
        <v>349</v>
      </c>
      <c r="B1354" s="119"/>
      <c r="C1354" s="120"/>
      <c r="D1354" s="120"/>
      <c r="E1354" s="120"/>
      <c r="F1354" s="121"/>
      <c r="G1354" s="122">
        <f>SUM(G11+G37+G211+G588+G625+G864+G1003+G1026+G1210+G1273+G945+G45)</f>
        <v>2757566.2</v>
      </c>
      <c r="H1354" s="122" t="e">
        <f>SUM(H11+H37+H211+H588+H625+H864+H1003+H1026+H1210+H1273)</f>
        <v>#REF!</v>
      </c>
      <c r="I1354" s="123" t="e">
        <f t="shared" si="44"/>
        <v>#REF!</v>
      </c>
    </row>
    <row r="1355" spans="1:9" ht="26.25" hidden="1" thickBot="1">
      <c r="A1355" s="349" t="s">
        <v>350</v>
      </c>
      <c r="B1355" s="176"/>
      <c r="C1355" s="177"/>
      <c r="D1355" s="176"/>
      <c r="E1355" s="176"/>
      <c r="F1355" s="178"/>
      <c r="G1355" s="134">
        <f>-76000-174.5-350</f>
        <v>-76524.5</v>
      </c>
      <c r="H1355" s="134">
        <f>-76000-174.5-350</f>
        <v>-76524.5</v>
      </c>
      <c r="I1355" s="134">
        <f>-76000-174.5-350</f>
        <v>-76524.5</v>
      </c>
    </row>
    <row r="1356" ht="12.75">
      <c r="G1356" s="308"/>
    </row>
    <row r="1357" ht="12.75">
      <c r="G1357" s="309"/>
    </row>
  </sheetData>
  <mergeCells count="1">
    <mergeCell ref="F5:G5"/>
  </mergeCells>
  <printOptions/>
  <pageMargins left="1.062992125984252" right="0.15748031496062992" top="0.15748031496062992" bottom="0.03937007874015748" header="0.5118110236220472" footer="0.2362204724409449"/>
  <pageSetup fitToHeight="16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workbookViewId="0" topLeftCell="A1">
      <selection activeCell="C5" sqref="C5:D5"/>
    </sheetView>
  </sheetViews>
  <sheetFormatPr defaultColWidth="9.00390625" defaultRowHeight="12.75"/>
  <cols>
    <col min="1" max="1" width="30.625" style="187" customWidth="1"/>
    <col min="2" max="2" width="55.125" style="190" customWidth="1"/>
    <col min="3" max="3" width="18.125" style="192" customWidth="1"/>
    <col min="4" max="4" width="14.875" style="188" hidden="1" customWidth="1"/>
    <col min="5" max="16384" width="9.125" style="188" customWidth="1"/>
  </cols>
  <sheetData>
    <row r="1" spans="2:4" ht="12.75">
      <c r="B1" s="179"/>
      <c r="C1" s="179" t="s">
        <v>737</v>
      </c>
      <c r="D1" s="179"/>
    </row>
    <row r="2" spans="2:4" ht="12" customHeight="1">
      <c r="B2" s="189"/>
      <c r="C2" s="189" t="s">
        <v>883</v>
      </c>
      <c r="D2" s="179"/>
    </row>
    <row r="3" spans="1:4" ht="15.75" customHeight="1">
      <c r="A3" s="336"/>
      <c r="B3" s="189"/>
      <c r="C3" s="189" t="s">
        <v>884</v>
      </c>
      <c r="D3" s="179"/>
    </row>
    <row r="4" spans="3:4" ht="15">
      <c r="C4" s="189" t="s">
        <v>885</v>
      </c>
      <c r="D4" s="179"/>
    </row>
    <row r="5" spans="3:5" ht="17.25" customHeight="1">
      <c r="C5" s="368" t="s">
        <v>241</v>
      </c>
      <c r="D5" s="369"/>
      <c r="E5" s="191"/>
    </row>
    <row r="6" spans="1:3" ht="65.25" customHeight="1">
      <c r="A6" s="371" t="s">
        <v>944</v>
      </c>
      <c r="B6" s="372"/>
      <c r="C6" s="372"/>
    </row>
    <row r="7" spans="1:2" s="192" customFormat="1" ht="15">
      <c r="A7" s="187"/>
      <c r="B7" s="190"/>
    </row>
    <row r="8" spans="1:4" s="192" customFormat="1" ht="12.75" customHeight="1">
      <c r="A8" s="373" t="s">
        <v>515</v>
      </c>
      <c r="B8" s="376" t="s">
        <v>1005</v>
      </c>
      <c r="C8" s="370" t="s">
        <v>1006</v>
      </c>
      <c r="D8" s="370" t="s">
        <v>1007</v>
      </c>
    </row>
    <row r="9" spans="1:4" s="192" customFormat="1" ht="11.25" customHeight="1">
      <c r="A9" s="374"/>
      <c r="B9" s="376"/>
      <c r="C9" s="370"/>
      <c r="D9" s="370"/>
    </row>
    <row r="10" spans="1:4" s="193" customFormat="1" ht="37.5" customHeight="1">
      <c r="A10" s="375"/>
      <c r="B10" s="376"/>
      <c r="C10" s="370"/>
      <c r="D10" s="370"/>
    </row>
    <row r="11" spans="1:4" s="197" customFormat="1" ht="30" customHeight="1">
      <c r="A11" s="194" t="s">
        <v>1008</v>
      </c>
      <c r="B11" s="195" t="s">
        <v>1009</v>
      </c>
      <c r="C11" s="196">
        <f>C12+C17+C22+C27</f>
        <v>84977.9</v>
      </c>
      <c r="D11" s="196">
        <f>D12+D17+D22+D27</f>
        <v>-70000</v>
      </c>
    </row>
    <row r="12" spans="1:4" s="197" customFormat="1" ht="31.5" customHeight="1">
      <c r="A12" s="198" t="s">
        <v>1044</v>
      </c>
      <c r="B12" s="199" t="s">
        <v>1045</v>
      </c>
      <c r="C12" s="196">
        <f>SUM(C13-C15)</f>
        <v>75000</v>
      </c>
      <c r="D12" s="196">
        <f>SUM(D13+D15)</f>
        <v>-70000</v>
      </c>
    </row>
    <row r="13" spans="1:4" s="197" customFormat="1" ht="33" customHeight="1">
      <c r="A13" s="198" t="s">
        <v>1046</v>
      </c>
      <c r="B13" s="199" t="s">
        <v>1048</v>
      </c>
      <c r="C13" s="202">
        <f>SUM(C14)</f>
        <v>100580.5</v>
      </c>
      <c r="D13" s="200">
        <f>SUM(D14)</f>
        <v>0</v>
      </c>
    </row>
    <row r="14" spans="1:4" s="197" customFormat="1" ht="30" hidden="1">
      <c r="A14" s="198" t="s">
        <v>1049</v>
      </c>
      <c r="B14" s="201" t="s">
        <v>376</v>
      </c>
      <c r="C14" s="202">
        <v>100580.5</v>
      </c>
      <c r="D14" s="202"/>
    </row>
    <row r="15" spans="1:4" s="197" customFormat="1" ht="51" customHeight="1" hidden="1">
      <c r="A15" s="198" t="s">
        <v>377</v>
      </c>
      <c r="B15" s="203" t="s">
        <v>576</v>
      </c>
      <c r="C15" s="202">
        <f>SUM(C16)</f>
        <v>25580.5</v>
      </c>
      <c r="D15" s="202">
        <f>SUM(D16)</f>
        <v>-70000</v>
      </c>
    </row>
    <row r="16" spans="1:4" s="197" customFormat="1" ht="36" customHeight="1">
      <c r="A16" s="198" t="s">
        <v>577</v>
      </c>
      <c r="B16" s="201" t="s">
        <v>578</v>
      </c>
      <c r="C16" s="202">
        <v>25580.5</v>
      </c>
      <c r="D16" s="202">
        <v>-70000</v>
      </c>
    </row>
    <row r="17" spans="1:4" s="197" customFormat="1" ht="30" customHeight="1">
      <c r="A17" s="198" t="s">
        <v>579</v>
      </c>
      <c r="B17" s="204" t="s">
        <v>354</v>
      </c>
      <c r="C17" s="196">
        <f>SUM(C18)-C21</f>
        <v>-75000</v>
      </c>
      <c r="D17" s="196">
        <f>SUM(D18)</f>
        <v>0</v>
      </c>
    </row>
    <row r="18" spans="1:4" s="197" customFormat="1" ht="45" customHeight="1" hidden="1">
      <c r="A18" s="198" t="s">
        <v>580</v>
      </c>
      <c r="B18" s="205" t="s">
        <v>581</v>
      </c>
      <c r="C18" s="202">
        <f>SUM(C19)</f>
        <v>0</v>
      </c>
      <c r="D18" s="202">
        <f>SUM(D19)</f>
        <v>0</v>
      </c>
    </row>
    <row r="19" spans="1:4" s="206" customFormat="1" ht="45" customHeight="1" hidden="1">
      <c r="A19" s="198" t="s">
        <v>1105</v>
      </c>
      <c r="B19" s="204" t="s">
        <v>355</v>
      </c>
      <c r="C19" s="202"/>
      <c r="D19" s="202"/>
    </row>
    <row r="20" spans="1:4" s="206" customFormat="1" ht="51" customHeight="1">
      <c r="A20" s="198" t="s">
        <v>1106</v>
      </c>
      <c r="B20" s="207" t="s">
        <v>1107</v>
      </c>
      <c r="C20" s="202">
        <f>SUM(C21)</f>
        <v>75000</v>
      </c>
      <c r="D20" s="202"/>
    </row>
    <row r="21" spans="1:4" s="206" customFormat="1" ht="0.75" customHeight="1" hidden="1">
      <c r="A21" s="198" t="s">
        <v>1108</v>
      </c>
      <c r="B21" s="201" t="s">
        <v>585</v>
      </c>
      <c r="C21" s="202">
        <v>75000</v>
      </c>
      <c r="D21" s="202"/>
    </row>
    <row r="22" spans="1:4" s="197" customFormat="1" ht="32.25" customHeight="1">
      <c r="A22" s="194" t="s">
        <v>586</v>
      </c>
      <c r="B22" s="195" t="s">
        <v>587</v>
      </c>
      <c r="C22" s="196">
        <f aca="true" t="shared" si="0" ref="C22:D25">SUM(C23)</f>
        <v>84977.9</v>
      </c>
      <c r="D22" s="196">
        <f t="shared" si="0"/>
        <v>0</v>
      </c>
    </row>
    <row r="23" spans="1:4" s="197" customFormat="1" ht="32.25" customHeight="1">
      <c r="A23" s="198" t="s">
        <v>588</v>
      </c>
      <c r="B23" s="208" t="s">
        <v>589</v>
      </c>
      <c r="C23" s="202">
        <f t="shared" si="0"/>
        <v>84977.9</v>
      </c>
      <c r="D23" s="202">
        <f t="shared" si="0"/>
        <v>0</v>
      </c>
    </row>
    <row r="24" spans="1:4" s="197" customFormat="1" ht="32.25" customHeight="1">
      <c r="A24" s="198" t="s">
        <v>590</v>
      </c>
      <c r="B24" s="208" t="s">
        <v>591</v>
      </c>
      <c r="C24" s="202">
        <f>85282.7-304.8</f>
        <v>84977.9</v>
      </c>
      <c r="D24" s="202">
        <f t="shared" si="0"/>
        <v>0</v>
      </c>
    </row>
    <row r="25" spans="1:4" s="197" customFormat="1" ht="32.25" customHeight="1" hidden="1">
      <c r="A25" s="198" t="s">
        <v>592</v>
      </c>
      <c r="B25" s="208" t="s">
        <v>593</v>
      </c>
      <c r="C25" s="202">
        <f t="shared" si="0"/>
        <v>34419.5</v>
      </c>
      <c r="D25" s="202">
        <f t="shared" si="0"/>
        <v>0</v>
      </c>
    </row>
    <row r="26" spans="1:4" s="206" customFormat="1" ht="38.25" customHeight="1" hidden="1">
      <c r="A26" s="198" t="s">
        <v>594</v>
      </c>
      <c r="B26" s="208" t="s">
        <v>595</v>
      </c>
      <c r="C26" s="202">
        <v>34419.5</v>
      </c>
      <c r="D26" s="202"/>
    </row>
    <row r="27" spans="1:6" ht="35.25" customHeight="1">
      <c r="A27" s="209" t="s">
        <v>596</v>
      </c>
      <c r="B27" s="210" t="s">
        <v>363</v>
      </c>
      <c r="C27" s="211">
        <f>C28+C31</f>
        <v>0</v>
      </c>
      <c r="D27" s="211">
        <f>D28+D31</f>
        <v>0</v>
      </c>
      <c r="E27" s="206"/>
      <c r="F27" s="206"/>
    </row>
    <row r="28" spans="1:6" ht="30.75" customHeight="1">
      <c r="A28" s="212" t="s">
        <v>597</v>
      </c>
      <c r="B28" s="213" t="s">
        <v>598</v>
      </c>
      <c r="C28" s="214">
        <f>SUM(C29)</f>
        <v>-10000</v>
      </c>
      <c r="D28" s="214">
        <f>SUM(D29)</f>
        <v>0</v>
      </c>
      <c r="E28" s="206"/>
      <c r="F28" s="206"/>
    </row>
    <row r="29" spans="1:6" ht="123.75" customHeight="1">
      <c r="A29" s="212" t="s">
        <v>599</v>
      </c>
      <c r="B29" s="215" t="s">
        <v>101</v>
      </c>
      <c r="C29" s="214">
        <f>SUM(C30)</f>
        <v>-10000</v>
      </c>
      <c r="D29" s="214">
        <f>SUM(D30)</f>
        <v>0</v>
      </c>
      <c r="E29" s="206"/>
      <c r="F29" s="206"/>
    </row>
    <row r="30" spans="1:6" ht="110.25" customHeight="1" hidden="1">
      <c r="A30" s="212" t="s">
        <v>102</v>
      </c>
      <c r="B30" s="216" t="s">
        <v>841</v>
      </c>
      <c r="C30" s="214">
        <v>-10000</v>
      </c>
      <c r="D30" s="214"/>
      <c r="E30" s="206"/>
      <c r="F30" s="206"/>
    </row>
    <row r="31" spans="1:6" ht="30" customHeight="1">
      <c r="A31" s="212" t="s">
        <v>842</v>
      </c>
      <c r="B31" s="213" t="s">
        <v>843</v>
      </c>
      <c r="C31" s="214">
        <f>SUM(C32)</f>
        <v>10000</v>
      </c>
      <c r="D31" s="214">
        <f>SUM(D32)</f>
        <v>0</v>
      </c>
      <c r="E31" s="206"/>
      <c r="F31" s="206"/>
    </row>
    <row r="32" spans="1:6" ht="30" customHeight="1">
      <c r="A32" s="212" t="s">
        <v>844</v>
      </c>
      <c r="B32" s="213" t="s">
        <v>845</v>
      </c>
      <c r="C32" s="214">
        <f>SUM(C33)</f>
        <v>10000</v>
      </c>
      <c r="D32" s="214">
        <f>SUM(D33)</f>
        <v>0</v>
      </c>
      <c r="E32" s="206"/>
      <c r="F32" s="206"/>
    </row>
    <row r="33" spans="1:6" ht="45" customHeight="1" hidden="1">
      <c r="A33" s="212" t="s">
        <v>846</v>
      </c>
      <c r="B33" s="201" t="s">
        <v>847</v>
      </c>
      <c r="C33" s="214">
        <v>10000</v>
      </c>
      <c r="D33" s="214"/>
      <c r="E33" s="206"/>
      <c r="F33" s="206"/>
    </row>
    <row r="34" spans="1:6" ht="15">
      <c r="A34" s="217"/>
      <c r="C34" s="218"/>
      <c r="D34" s="206"/>
      <c r="E34" s="206"/>
      <c r="F34" s="206"/>
    </row>
  </sheetData>
  <mergeCells count="6">
    <mergeCell ref="C5:D5"/>
    <mergeCell ref="D8:D10"/>
    <mergeCell ref="A6:C6"/>
    <mergeCell ref="A8:A10"/>
    <mergeCell ref="B8:B10"/>
    <mergeCell ref="C8:C10"/>
  </mergeCells>
  <printOptions/>
  <pageMargins left="1.1811023622047245" right="0.3937007874015748" top="0.984251968503937" bottom="0.3937007874015748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user</cp:lastModifiedBy>
  <cp:lastPrinted>2012-02-20T08:34:25Z</cp:lastPrinted>
  <dcterms:created xsi:type="dcterms:W3CDTF">2010-10-13T06:28:56Z</dcterms:created>
  <dcterms:modified xsi:type="dcterms:W3CDTF">2012-02-27T05:20:28Z</dcterms:modified>
  <cp:category/>
  <cp:version/>
  <cp:contentType/>
  <cp:contentStatus/>
</cp:coreProperties>
</file>